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935052\Desktop\Blog\"/>
    </mc:Choice>
  </mc:AlternateContent>
  <bookViews>
    <workbookView xWindow="0" yWindow="0" windowWidth="23040" windowHeight="9408" tabRatio="500"/>
  </bookViews>
  <sheets>
    <sheet name="Inputs" sheetId="1" r:id="rId1"/>
    <sheet name="Calc" sheetId="3" r:id="rId2"/>
    <sheet name="WACC" sheetId="4" r:id="rId3"/>
    <sheet name="Beta, Cost of Debt" sheetId="6" r:id="rId4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EXPENSE_CODE_" hidden="1">123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42796.714224537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6" l="1"/>
  <c r="C12" i="6"/>
  <c r="C101" i="1" l="1"/>
  <c r="D41" i="3"/>
  <c r="E41" i="3" s="1"/>
  <c r="F41" i="3" s="1"/>
  <c r="G41" i="3" s="1"/>
  <c r="H41" i="3" s="1"/>
  <c r="I41" i="3" s="1"/>
  <c r="J41" i="3" s="1"/>
  <c r="K41" i="3" s="1"/>
  <c r="L41" i="3" s="1"/>
  <c r="M41" i="3" s="1"/>
  <c r="N41" i="3" s="1"/>
  <c r="O41" i="3" s="1"/>
  <c r="P41" i="3" s="1"/>
  <c r="Q41" i="3" s="1"/>
  <c r="R41" i="3" s="1"/>
  <c r="S41" i="3" s="1"/>
  <c r="T41" i="3" s="1"/>
  <c r="U41" i="3" s="1"/>
  <c r="V41" i="3" s="1"/>
  <c r="J4" i="6"/>
  <c r="J5" i="6"/>
  <c r="J6" i="6"/>
  <c r="J7" i="6"/>
  <c r="D8" i="4"/>
  <c r="C8" i="4"/>
  <c r="M7" i="6"/>
  <c r="M6" i="6"/>
  <c r="M5" i="6"/>
  <c r="M4" i="6"/>
  <c r="G18" i="6"/>
  <c r="G4" i="6"/>
  <c r="G5" i="6"/>
  <c r="G6" i="6"/>
  <c r="G7" i="6"/>
  <c r="H18" i="6"/>
  <c r="H19" i="6"/>
  <c r="H20" i="6"/>
  <c r="H21" i="6"/>
  <c r="G21" i="6"/>
  <c r="G20" i="6"/>
  <c r="G19" i="6"/>
  <c r="H5" i="6"/>
  <c r="M8" i="6" l="1"/>
  <c r="D19" i="4" s="1"/>
  <c r="I21" i="6"/>
  <c r="L21" i="6" s="1"/>
  <c r="I19" i="6"/>
  <c r="L19" i="6" s="1"/>
  <c r="I18" i="6"/>
  <c r="C7" i="6"/>
  <c r="H7" i="6" s="1"/>
  <c r="C6" i="6"/>
  <c r="H6" i="6" s="1"/>
  <c r="C4" i="6"/>
  <c r="H4" i="6" s="1"/>
  <c r="C19" i="4" l="1"/>
  <c r="C20" i="4"/>
  <c r="L18" i="6"/>
  <c r="I20" i="6"/>
  <c r="L20" i="6" s="1"/>
  <c r="I22" i="6" l="1"/>
  <c r="L22" i="6"/>
  <c r="I4" i="6"/>
  <c r="I7" i="6"/>
  <c r="L7" i="6" s="1"/>
  <c r="I6" i="6"/>
  <c r="L6" i="6" s="1"/>
  <c r="I5" i="6"/>
  <c r="L5" i="6" s="1"/>
  <c r="L4" i="6" l="1"/>
  <c r="C24" i="6" s="1"/>
  <c r="C25" i="6"/>
  <c r="D7" i="4" s="1"/>
  <c r="I8" i="6"/>
  <c r="C11" i="6" s="1"/>
  <c r="C7" i="4" s="1"/>
  <c r="L8" i="6" l="1"/>
  <c r="C10" i="6" s="1"/>
  <c r="C13" i="6" s="1"/>
  <c r="C4" i="4" s="1"/>
  <c r="C27" i="6"/>
  <c r="D4" i="4" s="1"/>
  <c r="C28" i="4" l="1"/>
  <c r="C29" i="4" s="1"/>
  <c r="C14" i="4" l="1"/>
  <c r="D14" i="4"/>
  <c r="C5" i="4"/>
  <c r="C6" i="4" s="1"/>
  <c r="C21" i="4" s="1"/>
  <c r="D20" i="4"/>
  <c r="C9" i="4"/>
  <c r="C15" i="4" l="1"/>
  <c r="C18" i="4" s="1"/>
  <c r="C22" i="4" s="1"/>
  <c r="D10" i="1"/>
  <c r="D31" i="1"/>
  <c r="D37" i="1"/>
  <c r="D43" i="1"/>
  <c r="D49" i="1"/>
  <c r="D56" i="1"/>
  <c r="D62" i="1"/>
  <c r="D68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V10" i="1"/>
  <c r="V31" i="1"/>
  <c r="V37" i="1"/>
  <c r="V43" i="1"/>
  <c r="V49" i="1"/>
  <c r="E10" i="1"/>
  <c r="E31" i="1"/>
  <c r="E37" i="1"/>
  <c r="E43" i="1"/>
  <c r="E49" i="1"/>
  <c r="F10" i="1"/>
  <c r="F31" i="1"/>
  <c r="F37" i="1"/>
  <c r="F43" i="1"/>
  <c r="F49" i="1"/>
  <c r="G10" i="1"/>
  <c r="G31" i="1"/>
  <c r="G37" i="1"/>
  <c r="G43" i="1"/>
  <c r="G49" i="1"/>
  <c r="H10" i="1"/>
  <c r="H31" i="1"/>
  <c r="H37" i="1"/>
  <c r="H43" i="1"/>
  <c r="H49" i="1"/>
  <c r="I10" i="1"/>
  <c r="I31" i="1"/>
  <c r="I37" i="1"/>
  <c r="I43" i="1"/>
  <c r="I49" i="1"/>
  <c r="J10" i="1"/>
  <c r="J31" i="1"/>
  <c r="J37" i="1"/>
  <c r="J43" i="1"/>
  <c r="J49" i="1"/>
  <c r="K10" i="1"/>
  <c r="K31" i="1"/>
  <c r="K37" i="1"/>
  <c r="K43" i="1"/>
  <c r="K49" i="1"/>
  <c r="L10" i="1"/>
  <c r="L31" i="1"/>
  <c r="L37" i="1"/>
  <c r="L43" i="1"/>
  <c r="L49" i="1"/>
  <c r="M10" i="1"/>
  <c r="M3" i="3" s="1"/>
  <c r="M31" i="1"/>
  <c r="M37" i="1"/>
  <c r="M43" i="1"/>
  <c r="M49" i="1"/>
  <c r="N10" i="1"/>
  <c r="N31" i="1"/>
  <c r="N37" i="1"/>
  <c r="N43" i="1"/>
  <c r="N49" i="1"/>
  <c r="O10" i="1"/>
  <c r="O31" i="1"/>
  <c r="O37" i="1"/>
  <c r="O43" i="1"/>
  <c r="O49" i="1"/>
  <c r="P10" i="1"/>
  <c r="P31" i="1"/>
  <c r="P37" i="1"/>
  <c r="P43" i="1"/>
  <c r="P49" i="1"/>
  <c r="Q10" i="1"/>
  <c r="Q31" i="1"/>
  <c r="Q37" i="1"/>
  <c r="Q43" i="1"/>
  <c r="Q49" i="1"/>
  <c r="R10" i="1"/>
  <c r="R31" i="1"/>
  <c r="R37" i="1"/>
  <c r="R43" i="1"/>
  <c r="R49" i="1"/>
  <c r="S10" i="1"/>
  <c r="S31" i="1"/>
  <c r="S37" i="1"/>
  <c r="S43" i="1"/>
  <c r="S49" i="1"/>
  <c r="T10" i="1"/>
  <c r="T31" i="1"/>
  <c r="T37" i="1"/>
  <c r="T43" i="1"/>
  <c r="T49" i="1"/>
  <c r="U10" i="1"/>
  <c r="U31" i="1"/>
  <c r="U37" i="1"/>
  <c r="U43" i="1"/>
  <c r="U49" i="1"/>
  <c r="C26" i="1"/>
  <c r="C10" i="3" s="1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E1" i="3"/>
  <c r="F1" i="3" s="1"/>
  <c r="G1" i="3" s="1"/>
  <c r="H1" i="3" s="1"/>
  <c r="I1" i="3" s="1"/>
  <c r="J1" i="3" s="1"/>
  <c r="K1" i="3" s="1"/>
  <c r="L1" i="3" s="1"/>
  <c r="M1" i="3" s="1"/>
  <c r="N1" i="3" s="1"/>
  <c r="O1" i="3" s="1"/>
  <c r="P1" i="3" s="1"/>
  <c r="Q1" i="3" s="1"/>
  <c r="R1" i="3" s="1"/>
  <c r="S1" i="3" s="1"/>
  <c r="T1" i="3" s="1"/>
  <c r="U1" i="3" s="1"/>
  <c r="V1" i="3" s="1"/>
  <c r="E7" i="1"/>
  <c r="F7" i="1" s="1"/>
  <c r="G7" i="1" s="1"/>
  <c r="H7" i="1" s="1"/>
  <c r="I7" i="1" s="1"/>
  <c r="J7" i="1" s="1"/>
  <c r="K7" i="1" s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M26" i="3" l="1"/>
  <c r="D42" i="3"/>
  <c r="H42" i="3"/>
  <c r="L42" i="3"/>
  <c r="P42" i="3"/>
  <c r="T42" i="3"/>
  <c r="E42" i="3"/>
  <c r="I42" i="3"/>
  <c r="M42" i="3"/>
  <c r="Q42" i="3"/>
  <c r="U42" i="3"/>
  <c r="F42" i="3"/>
  <c r="J42" i="3"/>
  <c r="N42" i="3"/>
  <c r="R42" i="3"/>
  <c r="V42" i="3"/>
  <c r="G42" i="3"/>
  <c r="K42" i="3"/>
  <c r="O42" i="3"/>
  <c r="S42" i="3"/>
  <c r="C27" i="1"/>
  <c r="C28" i="1" s="1"/>
  <c r="R3" i="3"/>
  <c r="F3" i="3"/>
  <c r="F26" i="3" s="1"/>
  <c r="U3" i="3"/>
  <c r="Q3" i="3"/>
  <c r="I3" i="3"/>
  <c r="I26" i="3" s="1"/>
  <c r="E3" i="3"/>
  <c r="E26" i="3" s="1"/>
  <c r="N3" i="3"/>
  <c r="J3" i="3"/>
  <c r="J26" i="3" s="1"/>
  <c r="T3" i="3"/>
  <c r="P3" i="3"/>
  <c r="L3" i="3"/>
  <c r="H3" i="3"/>
  <c r="H26" i="3" s="1"/>
  <c r="V3" i="3"/>
  <c r="S3" i="3"/>
  <c r="O3" i="3"/>
  <c r="K3" i="3"/>
  <c r="G3" i="3"/>
  <c r="G26" i="3" s="1"/>
  <c r="D3" i="3"/>
  <c r="D26" i="3" s="1"/>
  <c r="Q10" i="3"/>
  <c r="C16" i="3"/>
  <c r="S16" i="3" s="1"/>
  <c r="S10" i="3"/>
  <c r="O10" i="3"/>
  <c r="K10" i="3"/>
  <c r="G10" i="3"/>
  <c r="D10" i="3"/>
  <c r="C11" i="3"/>
  <c r="C17" i="3" s="1"/>
  <c r="U17" i="3" s="1"/>
  <c r="T10" i="3"/>
  <c r="P10" i="3"/>
  <c r="L10" i="3"/>
  <c r="H10" i="3"/>
  <c r="V10" i="3"/>
  <c r="R10" i="3"/>
  <c r="N10" i="3"/>
  <c r="J10" i="3"/>
  <c r="F10" i="3"/>
  <c r="U10" i="3"/>
  <c r="M10" i="3"/>
  <c r="I10" i="3"/>
  <c r="E10" i="3"/>
  <c r="S26" i="3" l="1"/>
  <c r="P26" i="3"/>
  <c r="V26" i="3"/>
  <c r="T26" i="3"/>
  <c r="R26" i="3"/>
  <c r="K26" i="3"/>
  <c r="Q26" i="3"/>
  <c r="O26" i="3"/>
  <c r="L26" i="3"/>
  <c r="N26" i="3"/>
  <c r="U26" i="3"/>
  <c r="L17" i="3"/>
  <c r="D43" i="3"/>
  <c r="J16" i="3"/>
  <c r="Q16" i="3"/>
  <c r="P11" i="3"/>
  <c r="O16" i="3"/>
  <c r="P16" i="3"/>
  <c r="U16" i="3"/>
  <c r="N16" i="3"/>
  <c r="L16" i="3"/>
  <c r="O17" i="3"/>
  <c r="H11" i="3"/>
  <c r="D11" i="3"/>
  <c r="N17" i="3"/>
  <c r="M17" i="3"/>
  <c r="P17" i="3"/>
  <c r="S11" i="3"/>
  <c r="Q17" i="3"/>
  <c r="F11" i="3"/>
  <c r="N11" i="3"/>
  <c r="G17" i="3"/>
  <c r="E16" i="3"/>
  <c r="V11" i="3"/>
  <c r="L11" i="3"/>
  <c r="T17" i="3"/>
  <c r="V16" i="3"/>
  <c r="F17" i="3"/>
  <c r="V17" i="3"/>
  <c r="D16" i="3"/>
  <c r="G16" i="3"/>
  <c r="S17" i="3"/>
  <c r="T11" i="3"/>
  <c r="I11" i="3"/>
  <c r="Q11" i="3"/>
  <c r="D17" i="3"/>
  <c r="R17" i="3"/>
  <c r="K11" i="3"/>
  <c r="K17" i="3"/>
  <c r="M16" i="3"/>
  <c r="H17" i="3"/>
  <c r="F16" i="3"/>
  <c r="E11" i="3"/>
  <c r="M11" i="3"/>
  <c r="U11" i="3"/>
  <c r="J17" i="3"/>
  <c r="H16" i="3"/>
  <c r="G11" i="3"/>
  <c r="O11" i="3"/>
  <c r="I17" i="3"/>
  <c r="K16" i="3"/>
  <c r="J11" i="3"/>
  <c r="R11" i="3"/>
  <c r="C12" i="3"/>
  <c r="C29" i="1"/>
  <c r="I16" i="3"/>
  <c r="R16" i="3"/>
  <c r="T16" i="3"/>
  <c r="E17" i="3"/>
  <c r="L43" i="3" l="1"/>
  <c r="E43" i="3"/>
  <c r="M43" i="3"/>
  <c r="F43" i="3"/>
  <c r="N43" i="3"/>
  <c r="T43" i="3"/>
  <c r="C18" i="3"/>
  <c r="D12" i="3"/>
  <c r="D53" i="3" s="1"/>
  <c r="R12" i="3"/>
  <c r="N12" i="3"/>
  <c r="J12" i="3"/>
  <c r="F12" i="3"/>
  <c r="T12" i="3"/>
  <c r="O12" i="3"/>
  <c r="K12" i="3"/>
  <c r="G12" i="3"/>
  <c r="U12" i="3"/>
  <c r="Q12" i="3"/>
  <c r="M12" i="3"/>
  <c r="I12" i="3"/>
  <c r="E12" i="3"/>
  <c r="P12" i="3"/>
  <c r="L12" i="3"/>
  <c r="H12" i="3"/>
  <c r="V12" i="3"/>
  <c r="S12" i="3"/>
  <c r="C13" i="3"/>
  <c r="C4" i="3"/>
  <c r="U43" i="3" l="1"/>
  <c r="E53" i="3"/>
  <c r="G43" i="3"/>
  <c r="R4" i="3"/>
  <c r="R27" i="3" s="1"/>
  <c r="E4" i="3"/>
  <c r="E27" i="3" s="1"/>
  <c r="L4" i="3"/>
  <c r="L27" i="3" s="1"/>
  <c r="N4" i="3"/>
  <c r="N27" i="3" s="1"/>
  <c r="P4" i="3"/>
  <c r="P27" i="3" s="1"/>
  <c r="V4" i="3"/>
  <c r="V27" i="3" s="1"/>
  <c r="Q4" i="3"/>
  <c r="Q27" i="3" s="1"/>
  <c r="F4" i="3"/>
  <c r="F27" i="3" s="1"/>
  <c r="K4" i="3"/>
  <c r="K27" i="3" s="1"/>
  <c r="O4" i="3"/>
  <c r="O27" i="3" s="1"/>
  <c r="T4" i="3"/>
  <c r="T27" i="3" s="1"/>
  <c r="H4" i="3"/>
  <c r="H27" i="3" s="1"/>
  <c r="U4" i="3"/>
  <c r="U27" i="3" s="1"/>
  <c r="I4" i="3"/>
  <c r="I27" i="3" s="1"/>
  <c r="J4" i="3"/>
  <c r="J27" i="3" s="1"/>
  <c r="M4" i="3"/>
  <c r="M27" i="3" s="1"/>
  <c r="D4" i="3"/>
  <c r="G4" i="3"/>
  <c r="G27" i="3" s="1"/>
  <c r="S4" i="3"/>
  <c r="S27" i="3" s="1"/>
  <c r="C19" i="3"/>
  <c r="U13" i="3"/>
  <c r="Q13" i="3"/>
  <c r="M13" i="3"/>
  <c r="I13" i="3"/>
  <c r="E13" i="3"/>
  <c r="S13" i="3"/>
  <c r="D13" i="3"/>
  <c r="N13" i="3"/>
  <c r="J13" i="3"/>
  <c r="F13" i="3"/>
  <c r="T13" i="3"/>
  <c r="P13" i="3"/>
  <c r="L13" i="3"/>
  <c r="H13" i="3"/>
  <c r="V13" i="3"/>
  <c r="G13" i="3"/>
  <c r="R13" i="3"/>
  <c r="K13" i="3"/>
  <c r="O13" i="3"/>
  <c r="G18" i="3"/>
  <c r="H18" i="3"/>
  <c r="V18" i="3"/>
  <c r="F18" i="3"/>
  <c r="M18" i="3"/>
  <c r="S18" i="3"/>
  <c r="T18" i="3"/>
  <c r="R18" i="3"/>
  <c r="I18" i="3"/>
  <c r="O18" i="3"/>
  <c r="P18" i="3"/>
  <c r="N18" i="3"/>
  <c r="U18" i="3"/>
  <c r="E18" i="3"/>
  <c r="Q18" i="3"/>
  <c r="L18" i="3"/>
  <c r="D18" i="3"/>
  <c r="K18" i="3"/>
  <c r="J18" i="3"/>
  <c r="F53" i="3" l="1"/>
  <c r="V43" i="3"/>
  <c r="O43" i="3"/>
  <c r="H43" i="3"/>
  <c r="D27" i="3"/>
  <c r="I19" i="3"/>
  <c r="I30" i="3" s="1"/>
  <c r="I34" i="3" s="1"/>
  <c r="J19" i="3"/>
  <c r="J30" i="3" s="1"/>
  <c r="J34" i="3" s="1"/>
  <c r="H19" i="3"/>
  <c r="H30" i="3" s="1"/>
  <c r="H34" i="3" s="1"/>
  <c r="O19" i="3"/>
  <c r="O30" i="3" s="1"/>
  <c r="O34" i="3" s="1"/>
  <c r="U19" i="3"/>
  <c r="U30" i="3" s="1"/>
  <c r="U34" i="3" s="1"/>
  <c r="E19" i="3"/>
  <c r="E30" i="3" s="1"/>
  <c r="E34" i="3" s="1"/>
  <c r="V19" i="3"/>
  <c r="V30" i="3" s="1"/>
  <c r="V34" i="3" s="1"/>
  <c r="F19" i="3"/>
  <c r="F30" i="3" s="1"/>
  <c r="F34" i="3" s="1"/>
  <c r="T19" i="3"/>
  <c r="T30" i="3" s="1"/>
  <c r="T34" i="3" s="1"/>
  <c r="D19" i="3"/>
  <c r="K19" i="3"/>
  <c r="K30" i="3" s="1"/>
  <c r="K34" i="3" s="1"/>
  <c r="Q19" i="3"/>
  <c r="Q30" i="3" s="1"/>
  <c r="Q34" i="3" s="1"/>
  <c r="R19" i="3"/>
  <c r="R30" i="3" s="1"/>
  <c r="R34" i="3" s="1"/>
  <c r="P19" i="3"/>
  <c r="P30" i="3" s="1"/>
  <c r="P34" i="3" s="1"/>
  <c r="G19" i="3"/>
  <c r="G30" i="3" s="1"/>
  <c r="G34" i="3" s="1"/>
  <c r="M19" i="3"/>
  <c r="M30" i="3" s="1"/>
  <c r="M34" i="3" s="1"/>
  <c r="L19" i="3"/>
  <c r="L30" i="3" s="1"/>
  <c r="L34" i="3" s="1"/>
  <c r="S19" i="3"/>
  <c r="S30" i="3" s="1"/>
  <c r="S34" i="3" s="1"/>
  <c r="N19" i="3"/>
  <c r="N30" i="3" s="1"/>
  <c r="N34" i="3" s="1"/>
  <c r="E49" i="3" l="1"/>
  <c r="Q49" i="3"/>
  <c r="O49" i="3"/>
  <c r="J49" i="3"/>
  <c r="N49" i="3"/>
  <c r="N50" i="3" s="1"/>
  <c r="R49" i="3"/>
  <c r="R50" i="3" s="1"/>
  <c r="R52" i="3" s="1"/>
  <c r="D49" i="3"/>
  <c r="D50" i="3" s="1"/>
  <c r="D52" i="3" s="1"/>
  <c r="I49" i="3"/>
  <c r="I50" i="3" s="1"/>
  <c r="T49" i="3"/>
  <c r="T50" i="3" s="1"/>
  <c r="F49" i="3"/>
  <c r="P49" i="3"/>
  <c r="G49" i="3"/>
  <c r="G50" i="3" s="1"/>
  <c r="G52" i="3" s="1"/>
  <c r="H49" i="3"/>
  <c r="H50" i="3" s="1"/>
  <c r="H52" i="3" s="1"/>
  <c r="K49" i="3"/>
  <c r="K50" i="3" s="1"/>
  <c r="K52" i="3" s="1"/>
  <c r="V49" i="3"/>
  <c r="V50" i="3" s="1"/>
  <c r="V52" i="3" s="1"/>
  <c r="L49" i="3"/>
  <c r="L50" i="3" s="1"/>
  <c r="L52" i="3" s="1"/>
  <c r="S49" i="3"/>
  <c r="M49" i="3"/>
  <c r="U49" i="3"/>
  <c r="U50" i="3" s="1"/>
  <c r="U52" i="3" s="1"/>
  <c r="G53" i="3"/>
  <c r="I43" i="3"/>
  <c r="P43" i="3"/>
  <c r="D30" i="3"/>
  <c r="D34" i="3" s="1"/>
  <c r="T52" i="3" l="1"/>
  <c r="I52" i="3"/>
  <c r="N52" i="3"/>
  <c r="S50" i="3"/>
  <c r="S52" i="3" s="1"/>
  <c r="J50" i="3"/>
  <c r="J52" i="3" s="1"/>
  <c r="P50" i="3"/>
  <c r="P52" i="3" s="1"/>
  <c r="Q50" i="3"/>
  <c r="Q52" i="3" s="1"/>
  <c r="M50" i="3"/>
  <c r="M52" i="3" s="1"/>
  <c r="O50" i="3"/>
  <c r="O52" i="3" s="1"/>
  <c r="F50" i="3"/>
  <c r="F52" i="3" s="1"/>
  <c r="E50" i="3"/>
  <c r="E52" i="3" s="1"/>
  <c r="H53" i="3"/>
  <c r="Q43" i="3"/>
  <c r="J43" i="3"/>
  <c r="D33" i="3"/>
  <c r="D37" i="3" s="1"/>
  <c r="D38" i="3" s="1"/>
  <c r="D40" i="3" l="1"/>
  <c r="I53" i="3"/>
  <c r="R43" i="3"/>
  <c r="K43" i="3"/>
  <c r="D35" i="3"/>
  <c r="E32" i="3" s="1"/>
  <c r="E33" i="3" s="1"/>
  <c r="E37" i="3" s="1"/>
  <c r="E38" i="3" l="1"/>
  <c r="E40" i="3" s="1"/>
  <c r="J53" i="3"/>
  <c r="S43" i="3"/>
  <c r="E35" i="3"/>
  <c r="F32" i="3" s="1"/>
  <c r="F33" i="3" s="1"/>
  <c r="F37" i="3" s="1"/>
  <c r="F38" i="3" l="1"/>
  <c r="F40" i="3" s="1"/>
  <c r="K53" i="3"/>
  <c r="F35" i="3"/>
  <c r="G32" i="3" s="1"/>
  <c r="G33" i="3" s="1"/>
  <c r="G37" i="3" s="1"/>
  <c r="G38" i="3" l="1"/>
  <c r="G40" i="3" s="1"/>
  <c r="L53" i="3"/>
  <c r="G35" i="3"/>
  <c r="H32" i="3" s="1"/>
  <c r="H33" i="3" s="1"/>
  <c r="H37" i="3" s="1"/>
  <c r="H38" i="3" l="1"/>
  <c r="H40" i="3" s="1"/>
  <c r="M53" i="3"/>
  <c r="H35" i="3"/>
  <c r="I32" i="3" s="1"/>
  <c r="N53" i="3" l="1"/>
  <c r="I33" i="3"/>
  <c r="I37" i="3" s="1"/>
  <c r="I38" i="3" l="1"/>
  <c r="I40" i="3" s="1"/>
  <c r="O53" i="3"/>
  <c r="I35" i="3"/>
  <c r="J32" i="3" s="1"/>
  <c r="J33" i="3" s="1"/>
  <c r="J37" i="3" s="1"/>
  <c r="J38" i="3" l="1"/>
  <c r="J40" i="3" s="1"/>
  <c r="P53" i="3"/>
  <c r="J35" i="3"/>
  <c r="K32" i="3" s="1"/>
  <c r="Q53" i="3" l="1"/>
  <c r="K33" i="3"/>
  <c r="K37" i="3" s="1"/>
  <c r="K38" i="3" l="1"/>
  <c r="K40" i="3" s="1"/>
  <c r="R53" i="3"/>
  <c r="K35" i="3"/>
  <c r="L32" i="3" s="1"/>
  <c r="D45" i="3" l="1"/>
  <c r="S53" i="3"/>
  <c r="L33" i="3"/>
  <c r="L37" i="3" s="1"/>
  <c r="L38" i="3" l="1"/>
  <c r="L40" i="3" s="1"/>
  <c r="T53" i="3"/>
  <c r="L35" i="3"/>
  <c r="M32" i="3" s="1"/>
  <c r="U53" i="3" l="1"/>
  <c r="M33" i="3"/>
  <c r="M37" i="3" s="1"/>
  <c r="M38" i="3" l="1"/>
  <c r="M40" i="3" s="1"/>
  <c r="V53" i="3"/>
  <c r="M35" i="3"/>
  <c r="N32" i="3" s="1"/>
  <c r="N33" i="3" l="1"/>
  <c r="N37" i="3" s="1"/>
  <c r="N38" i="3" l="1"/>
  <c r="N40" i="3" s="1"/>
  <c r="N35" i="3"/>
  <c r="O32" i="3" s="1"/>
  <c r="O33" i="3" l="1"/>
  <c r="O37" i="3" s="1"/>
  <c r="O38" i="3" l="1"/>
  <c r="O40" i="3" s="1"/>
  <c r="O35" i="3"/>
  <c r="P32" i="3" s="1"/>
  <c r="P33" i="3" l="1"/>
  <c r="P37" i="3" s="1"/>
  <c r="P38" i="3" l="1"/>
  <c r="P40" i="3" s="1"/>
  <c r="P35" i="3"/>
  <c r="Q32" i="3" s="1"/>
  <c r="Q33" i="3" l="1"/>
  <c r="Q37" i="3" s="1"/>
  <c r="Q38" i="3" l="1"/>
  <c r="Q40" i="3" s="1"/>
  <c r="Q35" i="3"/>
  <c r="R32" i="3" s="1"/>
  <c r="R33" i="3" l="1"/>
  <c r="R37" i="3" s="1"/>
  <c r="R38" i="3" l="1"/>
  <c r="R40" i="3" s="1"/>
  <c r="R35" i="3"/>
  <c r="S32" i="3" s="1"/>
  <c r="S33" i="3" l="1"/>
  <c r="S37" i="3" s="1"/>
  <c r="S38" i="3" l="1"/>
  <c r="S40" i="3" s="1"/>
  <c r="S35" i="3"/>
  <c r="T32" i="3" s="1"/>
  <c r="T33" i="3" l="1"/>
  <c r="T37" i="3" s="1"/>
  <c r="T38" i="3" l="1"/>
  <c r="T40" i="3" s="1"/>
  <c r="T35" i="3"/>
  <c r="U32" i="3" s="1"/>
  <c r="U33" i="3" l="1"/>
  <c r="U37" i="3" s="1"/>
  <c r="U38" i="3" l="1"/>
  <c r="U40" i="3" s="1"/>
  <c r="U35" i="3"/>
  <c r="V32" i="3" s="1"/>
  <c r="V33" i="3" l="1"/>
  <c r="V37" i="3" s="1"/>
  <c r="V38" i="3" l="1"/>
  <c r="V40" i="3" s="1"/>
  <c r="V35" i="3"/>
  <c r="D46" i="3" l="1"/>
  <c r="D44" i="3"/>
  <c r="D5" i="4"/>
  <c r="D6" i="4" s="1"/>
  <c r="D21" i="4" s="1"/>
  <c r="D9" i="4"/>
  <c r="D47" i="3" l="1"/>
  <c r="D15" i="4"/>
  <c r="D18" i="4" s="1"/>
  <c r="D22" i="4" s="1"/>
  <c r="E54" i="3" l="1"/>
  <c r="E55" i="3" s="1"/>
  <c r="I54" i="3"/>
  <c r="I55" i="3" s="1"/>
  <c r="M54" i="3"/>
  <c r="M55" i="3" s="1"/>
  <c r="Q54" i="3"/>
  <c r="Q55" i="3" s="1"/>
  <c r="U54" i="3"/>
  <c r="F54" i="3"/>
  <c r="F55" i="3" s="1"/>
  <c r="J54" i="3"/>
  <c r="J55" i="3" s="1"/>
  <c r="N54" i="3"/>
  <c r="N55" i="3" s="1"/>
  <c r="R54" i="3"/>
  <c r="V54" i="3"/>
  <c r="G54" i="3"/>
  <c r="G55" i="3" s="1"/>
  <c r="K54" i="3"/>
  <c r="K55" i="3" s="1"/>
  <c r="O54" i="3"/>
  <c r="S54" i="3"/>
  <c r="D54" i="3"/>
  <c r="D55" i="3" s="1"/>
  <c r="H54" i="3"/>
  <c r="H55" i="3" s="1"/>
  <c r="L54" i="3"/>
  <c r="P54" i="3"/>
  <c r="P55" i="3" s="1"/>
  <c r="T54" i="3"/>
  <c r="T55" i="3" s="1"/>
  <c r="U55" i="3"/>
  <c r="R55" i="3"/>
  <c r="S55" i="3"/>
  <c r="O55" i="3"/>
  <c r="L55" i="3"/>
  <c r="D57" i="3" l="1"/>
  <c r="V55" i="3"/>
  <c r="D56" i="3" l="1"/>
  <c r="D58" i="3"/>
  <c r="D59" i="3" l="1"/>
  <c r="D61" i="3" s="1"/>
  <c r="D63" i="3" s="1"/>
  <c r="D62" i="3" l="1"/>
</calcChain>
</file>

<file path=xl/sharedStrings.xml><?xml version="1.0" encoding="utf-8"?>
<sst xmlns="http://schemas.openxmlformats.org/spreadsheetml/2006/main" count="229" uniqueCount="130">
  <si>
    <t>Sales Forecasts</t>
  </si>
  <si>
    <t>Royalty Rate</t>
  </si>
  <si>
    <t>Base Case</t>
  </si>
  <si>
    <t>Best Case</t>
  </si>
  <si>
    <t>Worst Case</t>
  </si>
  <si>
    <t>Royalty Rate Bands</t>
  </si>
  <si>
    <t>Licensee Expenses</t>
  </si>
  <si>
    <t>SG&amp;A</t>
  </si>
  <si>
    <t>COGS</t>
  </si>
  <si>
    <t>Phase I</t>
  </si>
  <si>
    <t>Phase II</t>
  </si>
  <si>
    <t>Phase III</t>
  </si>
  <si>
    <t>Approval</t>
  </si>
  <si>
    <t>Royalties Payable to Licensor</t>
  </si>
  <si>
    <t>Licensee R&amp;D Expenses</t>
  </si>
  <si>
    <t>Licensee Upfront Payment</t>
  </si>
  <si>
    <t>Upfront</t>
  </si>
  <si>
    <t>Milestone Payments</t>
  </si>
  <si>
    <t>Probability of Success</t>
  </si>
  <si>
    <t>Amounts in USD m.</t>
  </si>
  <si>
    <t>Choose Case</t>
  </si>
  <si>
    <t>Licensee - Risk Adjusted R&amp;D Expenses</t>
  </si>
  <si>
    <t>Cumulative</t>
  </si>
  <si>
    <t>Risk Adjusted Sales Forecasts</t>
  </si>
  <si>
    <t>Royalty Payments to Licensor</t>
  </si>
  <si>
    <t>Risk Adj. Milestone Payments to Licensor</t>
  </si>
  <si>
    <t>Upfront Payments to Licensor</t>
  </si>
  <si>
    <t>Cash Flows</t>
  </si>
  <si>
    <t>Licensee Cash Flows (pre-tax)</t>
  </si>
  <si>
    <t>Licensee Cash Flows (after-tax)</t>
  </si>
  <si>
    <t>Taxable Profit</t>
  </si>
  <si>
    <t>Income Tax</t>
  </si>
  <si>
    <t>Tax loss Utilization</t>
  </si>
  <si>
    <t>Tax loss (Opening)</t>
  </si>
  <si>
    <t>Tax loss (Close)</t>
  </si>
  <si>
    <t>Tax loss Generation</t>
  </si>
  <si>
    <t>Discount Period</t>
  </si>
  <si>
    <t>Discount Rate</t>
  </si>
  <si>
    <t>Licensee</t>
  </si>
  <si>
    <t>WACC</t>
  </si>
  <si>
    <t>Licensor</t>
  </si>
  <si>
    <t>Size premium</t>
  </si>
  <si>
    <t>Equity Beta</t>
  </si>
  <si>
    <t>Unlevered beta</t>
  </si>
  <si>
    <t>Tax rate</t>
  </si>
  <si>
    <t>Relevered beta</t>
  </si>
  <si>
    <t>Capital Asset Pricing Model</t>
  </si>
  <si>
    <t>Cost of equity</t>
  </si>
  <si>
    <t>Pre-tax cost of debt</t>
  </si>
  <si>
    <t>Post-tax cost of debt</t>
  </si>
  <si>
    <t>Equity to Total Capital ratio (E/(D+E))</t>
  </si>
  <si>
    <t>% net debt</t>
  </si>
  <si>
    <t>Cost of Equity</t>
  </si>
  <si>
    <t>Debt to Total Capital (D/(D+E))</t>
  </si>
  <si>
    <t>Debt to Equity (D/E)</t>
  </si>
  <si>
    <t>Market Risk Premium (Damodaran)</t>
  </si>
  <si>
    <t>Risk-free rate (20 yr. U.S. gov. bond yield)</t>
  </si>
  <si>
    <t>Amgen</t>
  </si>
  <si>
    <t>Biogen</t>
  </si>
  <si>
    <t>Celgene</t>
  </si>
  <si>
    <t>Size Premium</t>
  </si>
  <si>
    <t>Market Value of Equity</t>
  </si>
  <si>
    <t>Equation Slope</t>
  </si>
  <si>
    <t>EquatIon Intercept</t>
  </si>
  <si>
    <t>Size Premium Calculation (Duff &amp; Phelps)</t>
  </si>
  <si>
    <t>Licensor Market Value of Equity</t>
  </si>
  <si>
    <t>Licensee Market Value of Equity</t>
  </si>
  <si>
    <t>Debt to Capital Ratio</t>
  </si>
  <si>
    <t>Marginal Tax Rate</t>
  </si>
  <si>
    <t>Levered
Equity Beta (Adjusted)</t>
  </si>
  <si>
    <t>Unlevered Equity Beta</t>
  </si>
  <si>
    <t>Average</t>
  </si>
  <si>
    <t>Unlevered Beta (average)</t>
  </si>
  <si>
    <t>Debt-to-Equity Ratio (average)</t>
  </si>
  <si>
    <t>Selected Subject Tax Rate</t>
  </si>
  <si>
    <t>Relevered Beta</t>
  </si>
  <si>
    <t>Debt</t>
  </si>
  <si>
    <r>
      <t>Market Value of Equity</t>
    </r>
    <r>
      <rPr>
        <b/>
        <vertAlign val="superscript"/>
        <sz val="9"/>
        <color theme="0"/>
        <rFont val="Arial"/>
        <family val="2"/>
      </rPr>
      <t>1</t>
    </r>
  </si>
  <si>
    <t>Total Capital</t>
  </si>
  <si>
    <t>Abbvie</t>
  </si>
  <si>
    <t>Licensee Beta Calculation</t>
  </si>
  <si>
    <t>Licensor Beta Calculation</t>
  </si>
  <si>
    <t>Agios Pharmaceuticals</t>
  </si>
  <si>
    <t>Array BioPharma Inc</t>
  </si>
  <si>
    <t>Clovis Oncology</t>
  </si>
  <si>
    <t>Epizyme</t>
  </si>
  <si>
    <t>EBIT</t>
  </si>
  <si>
    <t>Interest Coverage Ratio</t>
  </si>
  <si>
    <t>For smaller and riskier firms</t>
  </si>
  <si>
    <t>If interest coverage ratio is</t>
  </si>
  <si>
    <t>greater than</t>
  </si>
  <si>
    <t>≤ to</t>
  </si>
  <si>
    <t>Rating is</t>
  </si>
  <si>
    <t>Spread is</t>
  </si>
  <si>
    <t>D2/D</t>
  </si>
  <si>
    <t>C2/C</t>
  </si>
  <si>
    <t>Ca2/CC</t>
  </si>
  <si>
    <t>Caa/CCC</t>
  </si>
  <si>
    <t>B3/B-</t>
  </si>
  <si>
    <t>B2/B</t>
  </si>
  <si>
    <t>B1/B+</t>
  </si>
  <si>
    <t>Ba2/BB</t>
  </si>
  <si>
    <t>Ba1/BB+</t>
  </si>
  <si>
    <t>Baa2/BBB</t>
  </si>
  <si>
    <t>A3/A-</t>
  </si>
  <si>
    <t>A2/A</t>
  </si>
  <si>
    <t>A1/A+</t>
  </si>
  <si>
    <t>Aa2/AA</t>
  </si>
  <si>
    <t>Aaa/AAA</t>
  </si>
  <si>
    <t>For large manufacturing firms</t>
  </si>
  <si>
    <t>&gt;</t>
  </si>
  <si>
    <t>Interest Expense</t>
  </si>
  <si>
    <t>Cost of Debt (Bond yields)</t>
  </si>
  <si>
    <t>Comparable Companies</t>
  </si>
  <si>
    <t>Post-Commercialisation Discount Rate</t>
  </si>
  <si>
    <t>Post-Commercialisation Value</t>
  </si>
  <si>
    <t>Discount Factor</t>
  </si>
  <si>
    <t>Pre-Commercialisation Value</t>
  </si>
  <si>
    <t>Terminal Value</t>
  </si>
  <si>
    <t>Other Assumptions</t>
  </si>
  <si>
    <t>Growth To Perpetuity</t>
  </si>
  <si>
    <t>Licensee NPV</t>
  </si>
  <si>
    <t>Licensor Cash Flows (pre-tax)</t>
  </si>
  <si>
    <t>Tax Rate Pre-commercialisation</t>
  </si>
  <si>
    <t>Tax Rate Post-commercialisation</t>
  </si>
  <si>
    <t>Licensor Cash Flows (after-tax)</t>
  </si>
  <si>
    <t>Licensor NPV</t>
  </si>
  <si>
    <t>Total NPV</t>
  </si>
  <si>
    <t>% Licensee Share</t>
  </si>
  <si>
    <t>% Licensor Share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</si>
</sst>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0.0%"/>
    <numFmt numFmtId="165" formatCode="#,##0.0;\(#,##0.0\);&quot;-&quot;"/>
    <numFmt numFmtId="166" formatCode="0%_);\(0%\);0%_);@_)"/>
    <numFmt numFmtId="167" formatCode="0.0%_);\(0.0%\);0.0%_);@_)"/>
    <numFmt numFmtId="168" formatCode="#,##0.0"/>
    <numFmt numFmtId="169" formatCode="0.0"/>
    <numFmt numFmtId="170" formatCode="0.00000"/>
    <numFmt numFmtId="171" formatCode="#,##0.00;\(#,##0.00\);\-"/>
    <numFmt numFmtId="172" formatCode="0.00%_);\(0.00%\);0.00%_);@_)"/>
    <numFmt numFmtId="173" formatCode="#,##0;\(#,##0\);&quot;-&quot;"/>
  </numFmts>
  <fonts count="2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  <charset val="161"/>
    </font>
    <font>
      <sz val="9"/>
      <color rgb="FFFF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10"/>
      <color rgb="FFFF0000"/>
      <name val="Arial"/>
      <family val="2"/>
    </font>
    <font>
      <sz val="10"/>
      <color theme="0"/>
      <name val="Arial"/>
      <family val="2"/>
    </font>
    <font>
      <i/>
      <sz val="10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0"/>
      <name val="Times"/>
    </font>
    <font>
      <sz val="10"/>
      <name val="Geneva"/>
    </font>
    <font>
      <i/>
      <sz val="10"/>
      <name val="Times"/>
    </font>
    <font>
      <sz val="10"/>
      <name val="Times"/>
    </font>
    <font>
      <sz val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rgb="FF60497A"/>
        <bgColor indexed="64"/>
      </patternFill>
    </fill>
    <fill>
      <patternFill patternType="solid">
        <fgColor rgb="FFE4DFE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3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 style="thin">
        <color theme="3"/>
      </bottom>
      <diagonal/>
    </border>
    <border>
      <left style="thin">
        <color theme="0"/>
      </left>
      <right/>
      <top/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 style="thin">
        <color theme="0"/>
      </top>
      <bottom style="thin">
        <color theme="3"/>
      </bottom>
      <diagonal/>
    </border>
  </borders>
  <cellStyleXfs count="87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</cellStyleXfs>
  <cellXfs count="111">
    <xf numFmtId="0" fontId="0" fillId="0" borderId="0" xfId="0"/>
    <xf numFmtId="10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horizontal="right"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right" vertical="center" wrapText="1"/>
    </xf>
    <xf numFmtId="0" fontId="6" fillId="0" borderId="0" xfId="0" applyFont="1" applyFill="1" applyAlignment="1">
      <alignment horizontal="right" vertical="center"/>
    </xf>
    <xf numFmtId="10" fontId="6" fillId="0" borderId="0" xfId="0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right" vertical="center" wrapText="1"/>
    </xf>
    <xf numFmtId="10" fontId="6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2" fontId="6" fillId="0" borderId="0" xfId="0" applyNumberFormat="1" applyFont="1" applyAlignment="1">
      <alignment horizontal="right" vertical="center" wrapText="1"/>
    </xf>
    <xf numFmtId="10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right" vertical="center" wrapText="1"/>
    </xf>
    <xf numFmtId="10" fontId="7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right" vertical="center" wrapText="1"/>
    </xf>
    <xf numFmtId="0" fontId="9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5" fillId="3" borderId="0" xfId="0" applyFont="1" applyFill="1" applyAlignment="1">
      <alignment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5" fontId="15" fillId="3" borderId="0" xfId="0" applyNumberFormat="1" applyFont="1" applyFill="1" applyAlignment="1">
      <alignment vertical="center"/>
    </xf>
    <xf numFmtId="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164" fontId="16" fillId="0" borderId="0" xfId="1" applyNumberFormat="1" applyFont="1" applyAlignment="1">
      <alignment vertical="center"/>
    </xf>
    <xf numFmtId="0" fontId="6" fillId="0" borderId="0" xfId="0" applyFont="1" applyFill="1" applyAlignment="1">
      <alignment vertical="center"/>
    </xf>
    <xf numFmtId="166" fontId="6" fillId="0" borderId="0" xfId="0" applyNumberFormat="1" applyFont="1" applyAlignment="1">
      <alignment vertical="center"/>
    </xf>
    <xf numFmtId="167" fontId="6" fillId="0" borderId="0" xfId="0" applyNumberFormat="1" applyFont="1" applyAlignment="1">
      <alignment vertical="center"/>
    </xf>
    <xf numFmtId="168" fontId="6" fillId="0" borderId="0" xfId="0" applyNumberFormat="1" applyFont="1" applyAlignment="1">
      <alignment vertical="center"/>
    </xf>
    <xf numFmtId="169" fontId="6" fillId="0" borderId="0" xfId="0" applyNumberFormat="1" applyFont="1" applyAlignment="1">
      <alignment horizontal="right" vertical="center"/>
    </xf>
    <xf numFmtId="169" fontId="6" fillId="0" borderId="0" xfId="0" applyNumberFormat="1" applyFont="1" applyAlignment="1">
      <alignment vertical="center"/>
    </xf>
    <xf numFmtId="168" fontId="6" fillId="0" borderId="0" xfId="0" applyNumberFormat="1" applyFont="1" applyAlignment="1">
      <alignment horizontal="right" vertical="center"/>
    </xf>
    <xf numFmtId="168" fontId="5" fillId="0" borderId="0" xfId="0" applyNumberFormat="1" applyFont="1" applyAlignment="1">
      <alignment vertical="center"/>
    </xf>
    <xf numFmtId="0" fontId="6" fillId="0" borderId="0" xfId="0" quotePrefix="1" applyFont="1" applyFill="1" applyAlignment="1">
      <alignment horizontal="left" vertical="center"/>
    </xf>
    <xf numFmtId="167" fontId="6" fillId="0" borderId="0" xfId="0" applyNumberFormat="1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70" fontId="6" fillId="0" borderId="0" xfId="0" applyNumberFormat="1" applyFont="1" applyFill="1" applyAlignment="1">
      <alignment vertical="center"/>
    </xf>
    <xf numFmtId="9" fontId="6" fillId="0" borderId="0" xfId="0" applyNumberFormat="1" applyFont="1" applyFill="1" applyAlignment="1">
      <alignment vertical="center"/>
    </xf>
    <xf numFmtId="10" fontId="6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165" fontId="10" fillId="0" borderId="0" xfId="0" applyNumberFormat="1" applyFont="1" applyFill="1" applyAlignment="1">
      <alignment vertical="center"/>
    </xf>
    <xf numFmtId="165" fontId="12" fillId="0" borderId="0" xfId="0" applyNumberFormat="1" applyFont="1" applyFill="1" applyAlignment="1">
      <alignment vertical="center"/>
    </xf>
    <xf numFmtId="164" fontId="10" fillId="0" borderId="0" xfId="0" applyNumberFormat="1" applyFont="1" applyFill="1" applyAlignment="1">
      <alignment vertical="center"/>
    </xf>
    <xf numFmtId="166" fontId="10" fillId="0" borderId="0" xfId="0" applyNumberFormat="1" applyFont="1" applyFill="1" applyAlignment="1">
      <alignment vertical="center"/>
    </xf>
    <xf numFmtId="167" fontId="10" fillId="0" borderId="0" xfId="0" applyNumberFormat="1" applyFont="1" applyFill="1" applyAlignment="1">
      <alignment vertical="center"/>
    </xf>
    <xf numFmtId="168" fontId="10" fillId="0" borderId="0" xfId="0" applyNumberFormat="1" applyFont="1" applyFill="1" applyAlignment="1">
      <alignment vertical="center"/>
    </xf>
    <xf numFmtId="169" fontId="10" fillId="0" borderId="0" xfId="0" applyNumberFormat="1" applyFont="1" applyFill="1" applyAlignment="1">
      <alignment vertical="center"/>
    </xf>
    <xf numFmtId="168" fontId="10" fillId="0" borderId="0" xfId="0" applyNumberFormat="1" applyFont="1" applyFill="1" applyAlignment="1">
      <alignment horizontal="right" vertical="center"/>
    </xf>
    <xf numFmtId="168" fontId="11" fillId="0" borderId="0" xfId="0" applyNumberFormat="1" applyFont="1" applyFill="1" applyAlignment="1">
      <alignment vertical="center"/>
    </xf>
    <xf numFmtId="3" fontId="10" fillId="0" borderId="0" xfId="0" applyNumberFormat="1" applyFont="1" applyFill="1" applyAlignment="1">
      <alignment vertical="center"/>
    </xf>
    <xf numFmtId="171" fontId="10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3" borderId="11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right" vertical="center" wrapText="1"/>
    </xf>
    <xf numFmtId="0" fontId="13" fillId="3" borderId="13" xfId="0" applyFont="1" applyFill="1" applyBorder="1" applyAlignment="1">
      <alignment horizontal="right" vertical="center" wrapText="1"/>
    </xf>
    <xf numFmtId="0" fontId="18" fillId="4" borderId="0" xfId="0" applyFont="1" applyFill="1" applyBorder="1" applyAlignment="1">
      <alignment vertical="center"/>
    </xf>
    <xf numFmtId="164" fontId="18" fillId="4" borderId="0" xfId="0" applyNumberFormat="1" applyFont="1" applyFill="1" applyAlignment="1">
      <alignment vertical="center"/>
    </xf>
    <xf numFmtId="4" fontId="18" fillId="4" borderId="0" xfId="0" applyNumberFormat="1" applyFont="1" applyFill="1" applyAlignment="1">
      <alignment vertical="center"/>
    </xf>
    <xf numFmtId="0" fontId="18" fillId="4" borderId="0" xfId="0" applyFont="1" applyFill="1" applyAlignment="1">
      <alignment vertical="center"/>
    </xf>
    <xf numFmtId="171" fontId="18" fillId="4" borderId="9" xfId="0" applyNumberFormat="1" applyFont="1" applyFill="1" applyBorder="1" applyAlignment="1">
      <alignment vertical="center"/>
    </xf>
    <xf numFmtId="3" fontId="19" fillId="4" borderId="0" xfId="0" applyNumberFormat="1" applyFont="1" applyFill="1" applyAlignment="1">
      <alignment horizontal="left" vertical="center"/>
    </xf>
    <xf numFmtId="164" fontId="19" fillId="4" borderId="0" xfId="0" applyNumberFormat="1" applyFont="1" applyFill="1" applyAlignment="1">
      <alignment horizontal="right" vertical="center" wrapText="1"/>
    </xf>
    <xf numFmtId="0" fontId="20" fillId="0" borderId="0" xfId="0" applyFont="1"/>
    <xf numFmtId="0" fontId="21" fillId="0" borderId="0" xfId="0" applyFont="1"/>
    <xf numFmtId="0" fontId="22" fillId="0" borderId="14" xfId="0" applyFont="1" applyBorder="1" applyAlignment="1">
      <alignment horizontal="centerContinuous"/>
    </xf>
    <xf numFmtId="0" fontId="23" fillId="0" borderId="14" xfId="0" applyFont="1" applyBorder="1" applyAlignment="1">
      <alignment horizontal="centerContinuous"/>
    </xf>
    <xf numFmtId="0" fontId="23" fillId="0" borderId="14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10" fontId="24" fillId="0" borderId="15" xfId="1" applyNumberFormat="1" applyFont="1" applyBorder="1" applyAlignment="1">
      <alignment horizontal="center"/>
    </xf>
    <xf numFmtId="0" fontId="22" fillId="0" borderId="14" xfId="0" applyFont="1" applyBorder="1"/>
    <xf numFmtId="0" fontId="22" fillId="0" borderId="14" xfId="0" applyFont="1" applyBorder="1" applyAlignment="1">
      <alignment horizontal="center"/>
    </xf>
    <xf numFmtId="2" fontId="23" fillId="0" borderId="14" xfId="0" applyNumberFormat="1" applyFont="1" applyBorder="1" applyAlignment="1">
      <alignment horizontal="center"/>
    </xf>
    <xf numFmtId="4" fontId="10" fillId="0" borderId="0" xfId="0" applyNumberFormat="1" applyFont="1" applyFill="1" applyAlignment="1">
      <alignment vertical="center"/>
    </xf>
    <xf numFmtId="10" fontId="10" fillId="0" borderId="0" xfId="0" applyNumberFormat="1" applyFont="1" applyFill="1" applyAlignment="1">
      <alignment vertical="center"/>
    </xf>
    <xf numFmtId="0" fontId="25" fillId="0" borderId="0" xfId="0" applyFont="1" applyFill="1" applyAlignment="1">
      <alignment vertical="center"/>
    </xf>
    <xf numFmtId="165" fontId="25" fillId="0" borderId="0" xfId="0" applyNumberFormat="1" applyFont="1" applyFill="1" applyAlignment="1">
      <alignment vertical="center"/>
    </xf>
    <xf numFmtId="168" fontId="25" fillId="0" borderId="0" xfId="0" applyNumberFormat="1" applyFont="1" applyFill="1" applyAlignment="1">
      <alignment vertical="center"/>
    </xf>
    <xf numFmtId="168" fontId="25" fillId="0" borderId="0" xfId="0" applyNumberFormat="1" applyFont="1" applyFill="1" applyAlignment="1">
      <alignment horizontal="right" vertical="center"/>
    </xf>
    <xf numFmtId="168" fontId="18" fillId="0" borderId="0" xfId="0" applyNumberFormat="1" applyFont="1" applyFill="1" applyAlignment="1">
      <alignment vertical="center"/>
    </xf>
    <xf numFmtId="172" fontId="25" fillId="0" borderId="0" xfId="0" applyNumberFormat="1" applyFont="1" applyFill="1" applyAlignment="1">
      <alignment vertical="center"/>
    </xf>
    <xf numFmtId="4" fontId="23" fillId="0" borderId="14" xfId="0" applyNumberFormat="1" applyFont="1" applyBorder="1" applyAlignment="1">
      <alignment horizontal="center"/>
    </xf>
    <xf numFmtId="10" fontId="18" fillId="4" borderId="0" xfId="0" applyNumberFormat="1" applyFont="1" applyFill="1" applyAlignment="1">
      <alignment vertical="center"/>
    </xf>
    <xf numFmtId="3" fontId="10" fillId="0" borderId="0" xfId="0" applyNumberFormat="1" applyFont="1" applyFill="1" applyAlignment="1">
      <alignment horizontal="right" vertical="center"/>
    </xf>
    <xf numFmtId="4" fontId="10" fillId="0" borderId="0" xfId="0" applyNumberFormat="1" applyFont="1" applyFill="1" applyAlignment="1">
      <alignment horizontal="right" vertical="center"/>
    </xf>
    <xf numFmtId="0" fontId="13" fillId="3" borderId="17" xfId="0" applyFont="1" applyFill="1" applyBorder="1" applyAlignment="1">
      <alignment horizontal="left" vertical="center" wrapText="1"/>
    </xf>
    <xf numFmtId="0" fontId="13" fillId="3" borderId="18" xfId="0" applyFont="1" applyFill="1" applyBorder="1" applyAlignment="1">
      <alignment horizontal="right" vertical="center" wrapText="1"/>
    </xf>
    <xf numFmtId="0" fontId="13" fillId="3" borderId="19" xfId="0" applyFont="1" applyFill="1" applyBorder="1" applyAlignment="1">
      <alignment horizontal="right" vertical="center" wrapText="1"/>
    </xf>
    <xf numFmtId="4" fontId="6" fillId="0" borderId="0" xfId="0" applyNumberFormat="1" applyFont="1" applyAlignment="1">
      <alignment vertical="center"/>
    </xf>
    <xf numFmtId="0" fontId="5" fillId="4" borderId="0" xfId="0" applyFont="1" applyFill="1" applyAlignment="1">
      <alignment vertical="center"/>
    </xf>
    <xf numFmtId="4" fontId="5" fillId="4" borderId="0" xfId="0" applyNumberFormat="1" applyFont="1" applyFill="1" applyAlignment="1">
      <alignment vertical="center"/>
    </xf>
    <xf numFmtId="167" fontId="6" fillId="0" borderId="0" xfId="0" applyNumberFormat="1" applyFont="1" applyAlignment="1">
      <alignment horizontal="right" vertical="center"/>
    </xf>
    <xf numFmtId="173" fontId="5" fillId="0" borderId="0" xfId="0" applyNumberFormat="1" applyFont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</cellXfs>
  <cellStyles count="87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Normal" xfId="0" builtinId="0"/>
    <cellStyle name="Normal 4" xfId="86"/>
    <cellStyle name="Percent" xfId="1" builtinId="5"/>
  </cellStyles>
  <dxfs count="0"/>
  <tableStyles count="0" defaultTableStyle="TableStyleMedium9" defaultPivotStyle="PivotStyleMedium4"/>
  <colors>
    <mruColors>
      <color rgb="FFE4DFEC"/>
      <color rgb="FF6049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Radio" checked="Checked" firstButton="1" fmlaLink="$E$3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198120</xdr:colOff>
          <xdr:row>2</xdr:row>
          <xdr:rowOff>30480</xdr:rowOff>
        </xdr:from>
        <xdr:to>
          <xdr:col>3</xdr:col>
          <xdr:colOff>83820</xdr:colOff>
          <xdr:row>3</xdr:row>
          <xdr:rowOff>0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198120</xdr:colOff>
          <xdr:row>3</xdr:row>
          <xdr:rowOff>22860</xdr:rowOff>
        </xdr:from>
        <xdr:to>
          <xdr:col>3</xdr:col>
          <xdr:colOff>83820</xdr:colOff>
          <xdr:row>3</xdr:row>
          <xdr:rowOff>160020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198120</xdr:colOff>
          <xdr:row>4</xdr:row>
          <xdr:rowOff>0</xdr:rowOff>
        </xdr:from>
        <xdr:to>
          <xdr:col>3</xdr:col>
          <xdr:colOff>83820</xdr:colOff>
          <xdr:row>4</xdr:row>
          <xdr:rowOff>144780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02"/>
  <sheetViews>
    <sheetView showGridLines="0" tabSelected="1" zoomScale="73" zoomScaleNormal="73" zoomScalePageLayoutView="95" workbookViewId="0"/>
  </sheetViews>
  <sheetFormatPr defaultColWidth="6.69921875" defaultRowHeight="13.95" customHeight="1" outlineLevelRow="1"/>
  <cols>
    <col min="1" max="1" width="1.8984375" style="20" customWidth="1"/>
    <col min="2" max="2" width="27.296875" style="21" bestFit="1" customWidth="1"/>
    <col min="3" max="3" width="6.69921875" style="21" customWidth="1"/>
    <col min="4" max="16384" width="6.69921875" style="21"/>
  </cols>
  <sheetData>
    <row r="1" spans="1:22" ht="13.95" customHeight="1" thickBot="1"/>
    <row r="2" spans="1:22" ht="13.95" customHeight="1" thickBot="1">
      <c r="B2" s="107" t="s">
        <v>20</v>
      </c>
      <c r="C2" s="108"/>
    </row>
    <row r="3" spans="1:22" ht="13.95" customHeight="1">
      <c r="B3" s="22" t="s">
        <v>2</v>
      </c>
      <c r="C3" s="23"/>
      <c r="E3" s="24">
        <v>1</v>
      </c>
    </row>
    <row r="4" spans="1:22" ht="13.95" customHeight="1">
      <c r="B4" s="22" t="s">
        <v>3</v>
      </c>
      <c r="C4" s="23"/>
    </row>
    <row r="5" spans="1:22" ht="13.95" customHeight="1" thickBot="1">
      <c r="B5" s="25" t="s">
        <v>4</v>
      </c>
      <c r="C5" s="26"/>
    </row>
    <row r="7" spans="1:22" ht="13.95" customHeight="1">
      <c r="B7" s="27" t="s">
        <v>19</v>
      </c>
      <c r="D7" s="28">
        <v>2017</v>
      </c>
      <c r="E7" s="28">
        <f>D7+1</f>
        <v>2018</v>
      </c>
      <c r="F7" s="28">
        <f t="shared" ref="F7:V7" si="0">E7+1</f>
        <v>2019</v>
      </c>
      <c r="G7" s="28">
        <f t="shared" si="0"/>
        <v>2020</v>
      </c>
      <c r="H7" s="28">
        <f t="shared" si="0"/>
        <v>2021</v>
      </c>
      <c r="I7" s="28">
        <f t="shared" si="0"/>
        <v>2022</v>
      </c>
      <c r="J7" s="28">
        <f t="shared" si="0"/>
        <v>2023</v>
      </c>
      <c r="K7" s="28">
        <f t="shared" si="0"/>
        <v>2024</v>
      </c>
      <c r="L7" s="28">
        <f t="shared" si="0"/>
        <v>2025</v>
      </c>
      <c r="M7" s="28">
        <f t="shared" si="0"/>
        <v>2026</v>
      </c>
      <c r="N7" s="28">
        <f t="shared" si="0"/>
        <v>2027</v>
      </c>
      <c r="O7" s="28">
        <f t="shared" si="0"/>
        <v>2028</v>
      </c>
      <c r="P7" s="28">
        <f t="shared" si="0"/>
        <v>2029</v>
      </c>
      <c r="Q7" s="28">
        <f t="shared" si="0"/>
        <v>2030</v>
      </c>
      <c r="R7" s="28">
        <f t="shared" si="0"/>
        <v>2031</v>
      </c>
      <c r="S7" s="28">
        <f t="shared" si="0"/>
        <v>2032</v>
      </c>
      <c r="T7" s="28">
        <f t="shared" si="0"/>
        <v>2033</v>
      </c>
      <c r="U7" s="28">
        <f>T7+1</f>
        <v>2034</v>
      </c>
      <c r="V7" s="28">
        <f t="shared" si="0"/>
        <v>2035</v>
      </c>
    </row>
    <row r="8" spans="1:22" s="31" customFormat="1" ht="13.95" customHeight="1">
      <c r="A8" s="20"/>
      <c r="B8" s="30" t="s">
        <v>0</v>
      </c>
    </row>
    <row r="10" spans="1:22" ht="13.95" customHeight="1">
      <c r="B10" s="28" t="s">
        <v>0</v>
      </c>
      <c r="D10" s="32">
        <f t="shared" ref="D10:V10" ca="1" si="1">OFFSET(D11,$E$3,0)</f>
        <v>0</v>
      </c>
      <c r="E10" s="32">
        <f t="shared" ca="1" si="1"/>
        <v>0</v>
      </c>
      <c r="F10" s="32">
        <f t="shared" ca="1" si="1"/>
        <v>0</v>
      </c>
      <c r="G10" s="32">
        <f t="shared" ca="1" si="1"/>
        <v>0</v>
      </c>
      <c r="H10" s="32">
        <f t="shared" ca="1" si="1"/>
        <v>0</v>
      </c>
      <c r="I10" s="32">
        <f t="shared" ca="1" si="1"/>
        <v>0</v>
      </c>
      <c r="J10" s="32">
        <f t="shared" ca="1" si="1"/>
        <v>0</v>
      </c>
      <c r="K10" s="32">
        <f t="shared" ca="1" si="1"/>
        <v>100</v>
      </c>
      <c r="L10" s="106">
        <f t="shared" ca="1" si="1"/>
        <v>300</v>
      </c>
      <c r="M10" s="106">
        <f t="shared" ca="1" si="1"/>
        <v>500</v>
      </c>
      <c r="N10" s="106">
        <f t="shared" ca="1" si="1"/>
        <v>1000</v>
      </c>
      <c r="O10" s="106">
        <f t="shared" ca="1" si="1"/>
        <v>2000</v>
      </c>
      <c r="P10" s="106">
        <f t="shared" ca="1" si="1"/>
        <v>2900</v>
      </c>
      <c r="Q10" s="106">
        <f t="shared" ca="1" si="1"/>
        <v>3000</v>
      </c>
      <c r="R10" s="106">
        <f t="shared" ca="1" si="1"/>
        <v>3000</v>
      </c>
      <c r="S10" s="106">
        <f t="shared" ca="1" si="1"/>
        <v>2500</v>
      </c>
      <c r="T10" s="106">
        <f t="shared" ca="1" si="1"/>
        <v>2000</v>
      </c>
      <c r="U10" s="106">
        <f t="shared" ca="1" si="1"/>
        <v>1000</v>
      </c>
      <c r="V10" s="106">
        <f t="shared" ca="1" si="1"/>
        <v>500</v>
      </c>
    </row>
    <row r="11" spans="1:22" ht="13.95" hidden="1" customHeight="1" outlineLevel="1">
      <c r="B11" s="28"/>
    </row>
    <row r="12" spans="1:22" ht="13.95" hidden="1" customHeight="1" outlineLevel="1">
      <c r="B12" s="21" t="s">
        <v>2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100</v>
      </c>
      <c r="L12" s="33">
        <v>300</v>
      </c>
      <c r="M12" s="33">
        <v>500</v>
      </c>
      <c r="N12" s="33">
        <v>1000</v>
      </c>
      <c r="O12" s="33">
        <v>2000</v>
      </c>
      <c r="P12" s="33">
        <v>2900</v>
      </c>
      <c r="Q12" s="33">
        <v>3000</v>
      </c>
      <c r="R12" s="33">
        <v>3000</v>
      </c>
      <c r="S12" s="33">
        <v>2500</v>
      </c>
      <c r="T12" s="33">
        <v>2000</v>
      </c>
      <c r="U12" s="33">
        <v>1000</v>
      </c>
      <c r="V12" s="33">
        <v>500</v>
      </c>
    </row>
    <row r="13" spans="1:22" ht="13.95" hidden="1" customHeight="1" outlineLevel="1">
      <c r="B13" s="21" t="s">
        <v>3</v>
      </c>
      <c r="D13" s="33">
        <v>0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100</v>
      </c>
      <c r="K13" s="33">
        <v>300</v>
      </c>
      <c r="L13" s="33">
        <v>500</v>
      </c>
      <c r="M13" s="33">
        <v>1000</v>
      </c>
      <c r="N13" s="33">
        <v>2000</v>
      </c>
      <c r="O13" s="33">
        <v>3000</v>
      </c>
      <c r="P13" s="33">
        <v>4000</v>
      </c>
      <c r="Q13" s="33">
        <v>4000</v>
      </c>
      <c r="R13" s="33">
        <v>3500</v>
      </c>
      <c r="S13" s="33">
        <v>3000</v>
      </c>
      <c r="T13" s="33">
        <v>2000</v>
      </c>
      <c r="U13" s="33">
        <v>1000</v>
      </c>
      <c r="V13" s="33">
        <v>500</v>
      </c>
    </row>
    <row r="14" spans="1:22" ht="13.95" hidden="1" customHeight="1" outlineLevel="1">
      <c r="B14" s="21" t="s">
        <v>4</v>
      </c>
      <c r="D14" s="33">
        <v>0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50</v>
      </c>
      <c r="M14" s="33">
        <v>100</v>
      </c>
      <c r="N14" s="33">
        <v>400</v>
      </c>
      <c r="O14" s="33">
        <v>1500</v>
      </c>
      <c r="P14" s="33">
        <v>2000</v>
      </c>
      <c r="Q14" s="33">
        <v>2000</v>
      </c>
      <c r="R14" s="33">
        <v>1500</v>
      </c>
      <c r="S14" s="33">
        <v>1000</v>
      </c>
      <c r="T14" s="33">
        <v>1000</v>
      </c>
      <c r="U14" s="33">
        <v>500</v>
      </c>
      <c r="V14" s="33">
        <v>100</v>
      </c>
    </row>
    <row r="15" spans="1:22" ht="13.95" customHeight="1" collapsed="1"/>
    <row r="16" spans="1:22" s="31" customFormat="1" ht="13.95" customHeight="1">
      <c r="A16" s="20"/>
      <c r="B16" s="30" t="s">
        <v>15</v>
      </c>
    </row>
    <row r="17" spans="1:22" ht="13.95" customHeight="1">
      <c r="B17" s="21" t="s">
        <v>16</v>
      </c>
      <c r="D17" s="33">
        <v>25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</row>
    <row r="19" spans="1:22" s="31" customFormat="1" ht="13.95" customHeight="1">
      <c r="A19" s="20"/>
      <c r="B19" s="30" t="s">
        <v>18</v>
      </c>
    </row>
    <row r="20" spans="1:22" ht="13.95" customHeight="1">
      <c r="B20" s="21" t="s">
        <v>9</v>
      </c>
      <c r="C20" s="34">
        <v>0.628</v>
      </c>
    </row>
    <row r="21" spans="1:22" ht="13.95" customHeight="1">
      <c r="B21" s="21" t="s">
        <v>10</v>
      </c>
      <c r="C21" s="34">
        <v>0.246</v>
      </c>
    </row>
    <row r="22" spans="1:22" ht="13.95" customHeight="1">
      <c r="B22" s="21" t="s">
        <v>11</v>
      </c>
      <c r="C22" s="34">
        <v>0.40100000000000002</v>
      </c>
    </row>
    <row r="23" spans="1:22" ht="13.95" customHeight="1">
      <c r="B23" s="21" t="s">
        <v>12</v>
      </c>
      <c r="C23" s="34">
        <v>0.82399999999999995</v>
      </c>
    </row>
    <row r="24" spans="1:22" ht="13.95" customHeight="1">
      <c r="C24" s="34"/>
    </row>
    <row r="25" spans="1:22" ht="13.95" customHeight="1">
      <c r="B25" s="28" t="s">
        <v>22</v>
      </c>
      <c r="C25" s="34"/>
    </row>
    <row r="26" spans="1:22" ht="13.95" customHeight="1">
      <c r="B26" s="21" t="s">
        <v>9</v>
      </c>
      <c r="C26" s="34">
        <f>C20</f>
        <v>0.628</v>
      </c>
    </row>
    <row r="27" spans="1:22" ht="13.95" customHeight="1">
      <c r="B27" s="21" t="s">
        <v>10</v>
      </c>
      <c r="C27" s="34">
        <f t="shared" ref="C27:C29" si="2">C26*C21</f>
        <v>0.15448799999999999</v>
      </c>
    </row>
    <row r="28" spans="1:22" ht="13.95" customHeight="1">
      <c r="B28" s="21" t="s">
        <v>11</v>
      </c>
      <c r="C28" s="34">
        <f t="shared" si="2"/>
        <v>6.1949687999999996E-2</v>
      </c>
    </row>
    <row r="29" spans="1:22" ht="13.95" customHeight="1">
      <c r="B29" s="21" t="s">
        <v>12</v>
      </c>
      <c r="C29" s="34">
        <f t="shared" si="2"/>
        <v>5.1046542911999997E-2</v>
      </c>
    </row>
    <row r="30" spans="1:22" s="31" customFormat="1" ht="13.95" customHeight="1">
      <c r="A30" s="20"/>
      <c r="B30" s="30" t="s">
        <v>14</v>
      </c>
    </row>
    <row r="31" spans="1:22" ht="13.95" customHeight="1">
      <c r="B31" s="28" t="s">
        <v>9</v>
      </c>
      <c r="D31" s="32">
        <f t="shared" ref="D31" ca="1" si="3">OFFSET(D32,$E$3,0)</f>
        <v>5</v>
      </c>
      <c r="E31" s="32">
        <f t="shared" ref="E31" ca="1" si="4">OFFSET(E32,$E$3,0)</f>
        <v>5</v>
      </c>
      <c r="F31" s="32">
        <f t="shared" ref="F31" ca="1" si="5">OFFSET(F32,$E$3,0)</f>
        <v>0</v>
      </c>
      <c r="G31" s="32">
        <f t="shared" ref="G31" ca="1" si="6">OFFSET(G32,$E$3,0)</f>
        <v>0</v>
      </c>
      <c r="H31" s="32">
        <f t="shared" ref="H31" ca="1" si="7">OFFSET(H32,$E$3,0)</f>
        <v>0</v>
      </c>
      <c r="I31" s="32">
        <f t="shared" ref="I31" ca="1" si="8">OFFSET(I32,$E$3,0)</f>
        <v>0</v>
      </c>
      <c r="J31" s="32">
        <f t="shared" ref="J31" ca="1" si="9">OFFSET(J32,$E$3,0)</f>
        <v>0</v>
      </c>
      <c r="K31" s="32">
        <f t="shared" ref="K31" ca="1" si="10">OFFSET(K32,$E$3,0)</f>
        <v>0</v>
      </c>
      <c r="L31" s="32">
        <f t="shared" ref="L31" ca="1" si="11">OFFSET(L32,$E$3,0)</f>
        <v>0</v>
      </c>
      <c r="M31" s="32">
        <f t="shared" ref="M31" ca="1" si="12">OFFSET(M32,$E$3,0)</f>
        <v>0</v>
      </c>
      <c r="N31" s="32">
        <f t="shared" ref="N31" ca="1" si="13">OFFSET(N32,$E$3,0)</f>
        <v>0</v>
      </c>
      <c r="O31" s="32">
        <f t="shared" ref="O31" ca="1" si="14">OFFSET(O32,$E$3,0)</f>
        <v>0</v>
      </c>
      <c r="P31" s="32">
        <f t="shared" ref="P31" ca="1" si="15">OFFSET(P32,$E$3,0)</f>
        <v>0</v>
      </c>
      <c r="Q31" s="32">
        <f t="shared" ref="Q31" ca="1" si="16">OFFSET(Q32,$E$3,0)</f>
        <v>0</v>
      </c>
      <c r="R31" s="32">
        <f t="shared" ref="R31" ca="1" si="17">OFFSET(R32,$E$3,0)</f>
        <v>0</v>
      </c>
      <c r="S31" s="32">
        <f t="shared" ref="S31" ca="1" si="18">OFFSET(S32,$E$3,0)</f>
        <v>0</v>
      </c>
      <c r="T31" s="32">
        <f t="shared" ref="T31" ca="1" si="19">OFFSET(T32,$E$3,0)</f>
        <v>0</v>
      </c>
      <c r="U31" s="32">
        <f t="shared" ref="U31" ca="1" si="20">OFFSET(U32,$E$3,0)</f>
        <v>0</v>
      </c>
      <c r="V31" s="32">
        <f t="shared" ref="V31" ca="1" si="21">OFFSET(V32,$E$3,0)</f>
        <v>0</v>
      </c>
    </row>
    <row r="32" spans="1:22" ht="13.95" hidden="1" customHeight="1" outlineLevel="1">
      <c r="B32" s="28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</row>
    <row r="33" spans="2:22" ht="13.95" hidden="1" customHeight="1" outlineLevel="1">
      <c r="B33" s="21" t="s">
        <v>2</v>
      </c>
      <c r="D33" s="33">
        <v>5</v>
      </c>
      <c r="E33" s="33">
        <v>5</v>
      </c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</row>
    <row r="34" spans="2:22" ht="13.95" hidden="1" customHeight="1" outlineLevel="1">
      <c r="B34" s="21" t="s">
        <v>3</v>
      </c>
      <c r="D34" s="33">
        <v>5</v>
      </c>
      <c r="E34" s="33">
        <v>5</v>
      </c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</row>
    <row r="35" spans="2:22" ht="13.95" hidden="1" customHeight="1" outlineLevel="1">
      <c r="B35" s="21" t="s">
        <v>4</v>
      </c>
      <c r="D35" s="33">
        <v>5</v>
      </c>
      <c r="E35" s="33">
        <v>5</v>
      </c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</row>
    <row r="36" spans="2:22" ht="13.95" hidden="1" customHeight="1" outlineLevel="1"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</row>
    <row r="37" spans="2:22" ht="13.95" customHeight="1" collapsed="1">
      <c r="B37" s="28" t="s">
        <v>10</v>
      </c>
      <c r="D37" s="32">
        <f t="shared" ref="D37" ca="1" si="22">OFFSET(D38,$E$3,0)</f>
        <v>0</v>
      </c>
      <c r="E37" s="32">
        <f t="shared" ref="E37" ca="1" si="23">OFFSET(E38,$E$3,0)</f>
        <v>0</v>
      </c>
      <c r="F37" s="32">
        <f t="shared" ref="F37" ca="1" si="24">OFFSET(F38,$E$3,0)</f>
        <v>15</v>
      </c>
      <c r="G37" s="32">
        <f t="shared" ref="G37" ca="1" si="25">OFFSET(G38,$E$3,0)</f>
        <v>15</v>
      </c>
      <c r="H37" s="32">
        <f t="shared" ref="H37" ca="1" si="26">OFFSET(H38,$E$3,0)</f>
        <v>0</v>
      </c>
      <c r="I37" s="32">
        <f t="shared" ref="I37" ca="1" si="27">OFFSET(I38,$E$3,0)</f>
        <v>0</v>
      </c>
      <c r="J37" s="32">
        <f t="shared" ref="J37" ca="1" si="28">OFFSET(J38,$E$3,0)</f>
        <v>0</v>
      </c>
      <c r="K37" s="32">
        <f t="shared" ref="K37" ca="1" si="29">OFFSET(K38,$E$3,0)</f>
        <v>0</v>
      </c>
      <c r="L37" s="32">
        <f t="shared" ref="L37" ca="1" si="30">OFFSET(L38,$E$3,0)</f>
        <v>0</v>
      </c>
      <c r="M37" s="32">
        <f t="shared" ref="M37" ca="1" si="31">OFFSET(M38,$E$3,0)</f>
        <v>0</v>
      </c>
      <c r="N37" s="32">
        <f t="shared" ref="N37" ca="1" si="32">OFFSET(N38,$E$3,0)</f>
        <v>0</v>
      </c>
      <c r="O37" s="32">
        <f t="shared" ref="O37" ca="1" si="33">OFFSET(O38,$E$3,0)</f>
        <v>0</v>
      </c>
      <c r="P37" s="32">
        <f t="shared" ref="P37" ca="1" si="34">OFFSET(P38,$E$3,0)</f>
        <v>0</v>
      </c>
      <c r="Q37" s="32">
        <f t="shared" ref="Q37" ca="1" si="35">OFFSET(Q38,$E$3,0)</f>
        <v>0</v>
      </c>
      <c r="R37" s="32">
        <f t="shared" ref="R37" ca="1" si="36">OFFSET(R38,$E$3,0)</f>
        <v>0</v>
      </c>
      <c r="S37" s="32">
        <f t="shared" ref="S37" ca="1" si="37">OFFSET(S38,$E$3,0)</f>
        <v>0</v>
      </c>
      <c r="T37" s="32">
        <f t="shared" ref="T37" ca="1" si="38">OFFSET(T38,$E$3,0)</f>
        <v>0</v>
      </c>
      <c r="U37" s="32">
        <f t="shared" ref="U37" ca="1" si="39">OFFSET(U38,$E$3,0)</f>
        <v>0</v>
      </c>
      <c r="V37" s="32">
        <f t="shared" ref="V37" ca="1" si="40">OFFSET(V38,$E$3,0)</f>
        <v>0</v>
      </c>
    </row>
    <row r="38" spans="2:22" ht="13.95" hidden="1" customHeight="1" outlineLevel="1">
      <c r="B38" s="28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</row>
    <row r="39" spans="2:22" ht="13.95" hidden="1" customHeight="1" outlineLevel="1">
      <c r="B39" s="21" t="s">
        <v>2</v>
      </c>
      <c r="D39" s="33"/>
      <c r="E39" s="33"/>
      <c r="F39" s="33">
        <v>15</v>
      </c>
      <c r="G39" s="33">
        <v>15</v>
      </c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</row>
    <row r="40" spans="2:22" ht="13.95" hidden="1" customHeight="1" outlineLevel="1">
      <c r="B40" s="21" t="s">
        <v>3</v>
      </c>
      <c r="D40" s="33"/>
      <c r="E40" s="33"/>
      <c r="F40" s="33">
        <v>15</v>
      </c>
      <c r="G40" s="33">
        <v>15</v>
      </c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</row>
    <row r="41" spans="2:22" ht="13.95" hidden="1" customHeight="1" outlineLevel="1">
      <c r="B41" s="21" t="s">
        <v>4</v>
      </c>
      <c r="D41" s="33"/>
      <c r="E41" s="33"/>
      <c r="F41" s="33">
        <v>10</v>
      </c>
      <c r="G41" s="33">
        <v>10</v>
      </c>
      <c r="H41" s="33">
        <v>10</v>
      </c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</row>
    <row r="42" spans="2:22" ht="13.95" hidden="1" customHeight="1" outlineLevel="1"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</row>
    <row r="43" spans="2:22" ht="13.95" customHeight="1" collapsed="1">
      <c r="B43" s="28" t="s">
        <v>11</v>
      </c>
      <c r="D43" s="32">
        <f t="shared" ref="D43" ca="1" si="41">OFFSET(D44,$E$3,0)</f>
        <v>0</v>
      </c>
      <c r="E43" s="32">
        <f t="shared" ref="E43" ca="1" si="42">OFFSET(E44,$E$3,0)</f>
        <v>0</v>
      </c>
      <c r="F43" s="32">
        <f t="shared" ref="F43" ca="1" si="43">OFFSET(F44,$E$3,0)</f>
        <v>0</v>
      </c>
      <c r="G43" s="32">
        <f t="shared" ref="G43" ca="1" si="44">OFFSET(G44,$E$3,0)</f>
        <v>0</v>
      </c>
      <c r="H43" s="32">
        <f t="shared" ref="H43" ca="1" si="45">OFFSET(H44,$E$3,0)</f>
        <v>25</v>
      </c>
      <c r="I43" s="32">
        <f t="shared" ref="I43" ca="1" si="46">OFFSET(I44,$E$3,0)</f>
        <v>25</v>
      </c>
      <c r="J43" s="32">
        <f t="shared" ref="J43" ca="1" si="47">OFFSET(J44,$E$3,0)</f>
        <v>25</v>
      </c>
      <c r="K43" s="32">
        <f t="shared" ref="K43" ca="1" si="48">OFFSET(K44,$E$3,0)</f>
        <v>0</v>
      </c>
      <c r="L43" s="32">
        <f t="shared" ref="L43" ca="1" si="49">OFFSET(L44,$E$3,0)</f>
        <v>0</v>
      </c>
      <c r="M43" s="32">
        <f t="shared" ref="M43" ca="1" si="50">OFFSET(M44,$E$3,0)</f>
        <v>0</v>
      </c>
      <c r="N43" s="32">
        <f t="shared" ref="N43" ca="1" si="51">OFFSET(N44,$E$3,0)</f>
        <v>0</v>
      </c>
      <c r="O43" s="32">
        <f t="shared" ref="O43" ca="1" si="52">OFFSET(O44,$E$3,0)</f>
        <v>0</v>
      </c>
      <c r="P43" s="32">
        <f t="shared" ref="P43" ca="1" si="53">OFFSET(P44,$E$3,0)</f>
        <v>0</v>
      </c>
      <c r="Q43" s="32">
        <f t="shared" ref="Q43" ca="1" si="54">OFFSET(Q44,$E$3,0)</f>
        <v>0</v>
      </c>
      <c r="R43" s="32">
        <f t="shared" ref="R43" ca="1" si="55">OFFSET(R44,$E$3,0)</f>
        <v>0</v>
      </c>
      <c r="S43" s="32">
        <f t="shared" ref="S43" ca="1" si="56">OFFSET(S44,$E$3,0)</f>
        <v>0</v>
      </c>
      <c r="T43" s="32">
        <f t="shared" ref="T43" ca="1" si="57">OFFSET(T44,$E$3,0)</f>
        <v>0</v>
      </c>
      <c r="U43" s="32">
        <f t="shared" ref="U43" ca="1" si="58">OFFSET(U44,$E$3,0)</f>
        <v>0</v>
      </c>
      <c r="V43" s="32">
        <f t="shared" ref="V43" ca="1" si="59">OFFSET(V44,$E$3,0)</f>
        <v>0</v>
      </c>
    </row>
    <row r="44" spans="2:22" ht="13.95" hidden="1" customHeight="1" outlineLevel="1">
      <c r="B44" s="28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</row>
    <row r="45" spans="2:22" ht="13.95" hidden="1" customHeight="1" outlineLevel="1">
      <c r="B45" s="21" t="s">
        <v>2</v>
      </c>
      <c r="D45" s="33"/>
      <c r="E45" s="33"/>
      <c r="F45" s="33"/>
      <c r="G45" s="33"/>
      <c r="H45" s="33">
        <v>25</v>
      </c>
      <c r="I45" s="33">
        <v>25</v>
      </c>
      <c r="J45" s="33">
        <v>25</v>
      </c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</row>
    <row r="46" spans="2:22" ht="13.95" hidden="1" customHeight="1" outlineLevel="1">
      <c r="B46" s="21" t="s">
        <v>3</v>
      </c>
      <c r="D46" s="33"/>
      <c r="E46" s="33"/>
      <c r="F46" s="33"/>
      <c r="G46" s="33"/>
      <c r="H46" s="33">
        <v>37.5</v>
      </c>
      <c r="I46" s="33">
        <v>37.5</v>
      </c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</row>
    <row r="47" spans="2:22" ht="13.95" hidden="1" customHeight="1" outlineLevel="1">
      <c r="B47" s="21" t="s">
        <v>4</v>
      </c>
      <c r="D47" s="33"/>
      <c r="E47" s="33"/>
      <c r="F47" s="33"/>
      <c r="G47" s="33"/>
      <c r="H47" s="33"/>
      <c r="I47" s="33">
        <v>25</v>
      </c>
      <c r="J47" s="33">
        <v>25</v>
      </c>
      <c r="K47" s="33">
        <v>25</v>
      </c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</row>
    <row r="48" spans="2:22" ht="13.95" hidden="1" customHeight="1" outlineLevel="1"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</row>
    <row r="49" spans="1:22" ht="13.95" customHeight="1" collapsed="1">
      <c r="B49" s="28" t="s">
        <v>12</v>
      </c>
      <c r="D49" s="32">
        <f t="shared" ref="D49" ca="1" si="60">OFFSET(D50,$E$3,0)</f>
        <v>0</v>
      </c>
      <c r="E49" s="32">
        <f t="shared" ref="E49" ca="1" si="61">OFFSET(E50,$E$3,0)</f>
        <v>0</v>
      </c>
      <c r="F49" s="32">
        <f t="shared" ref="F49" ca="1" si="62">OFFSET(F50,$E$3,0)</f>
        <v>0</v>
      </c>
      <c r="G49" s="32">
        <f t="shared" ref="G49" ca="1" si="63">OFFSET(G50,$E$3,0)</f>
        <v>0</v>
      </c>
      <c r="H49" s="32">
        <f t="shared" ref="H49" ca="1" si="64">OFFSET(H50,$E$3,0)</f>
        <v>0</v>
      </c>
      <c r="I49" s="32">
        <f t="shared" ref="I49" ca="1" si="65">OFFSET(I50,$E$3,0)</f>
        <v>0</v>
      </c>
      <c r="J49" s="32">
        <f t="shared" ref="J49" ca="1" si="66">OFFSET(J50,$E$3,0)</f>
        <v>0</v>
      </c>
      <c r="K49" s="32">
        <f t="shared" ref="K49" ca="1" si="67">OFFSET(K50,$E$3,0)</f>
        <v>2</v>
      </c>
      <c r="L49" s="32">
        <f t="shared" ref="L49" ca="1" si="68">OFFSET(L50,$E$3,0)</f>
        <v>0</v>
      </c>
      <c r="M49" s="32">
        <f t="shared" ref="M49" ca="1" si="69">OFFSET(M50,$E$3,0)</f>
        <v>0</v>
      </c>
      <c r="N49" s="32">
        <f t="shared" ref="N49" ca="1" si="70">OFFSET(N50,$E$3,0)</f>
        <v>0</v>
      </c>
      <c r="O49" s="32">
        <f t="shared" ref="O49" ca="1" si="71">OFFSET(O50,$E$3,0)</f>
        <v>0</v>
      </c>
      <c r="P49" s="32">
        <f t="shared" ref="P49" ca="1" si="72">OFFSET(P50,$E$3,0)</f>
        <v>0</v>
      </c>
      <c r="Q49" s="32">
        <f t="shared" ref="Q49" ca="1" si="73">OFFSET(Q50,$E$3,0)</f>
        <v>0</v>
      </c>
      <c r="R49" s="32">
        <f t="shared" ref="R49" ca="1" si="74">OFFSET(R50,$E$3,0)</f>
        <v>0</v>
      </c>
      <c r="S49" s="32">
        <f t="shared" ref="S49" ca="1" si="75">OFFSET(S50,$E$3,0)</f>
        <v>0</v>
      </c>
      <c r="T49" s="32">
        <f t="shared" ref="T49" ca="1" si="76">OFFSET(T50,$E$3,0)</f>
        <v>0</v>
      </c>
      <c r="U49" s="32">
        <f t="shared" ref="U49" ca="1" si="77">OFFSET(U50,$E$3,0)</f>
        <v>0</v>
      </c>
      <c r="V49" s="32">
        <f t="shared" ref="V49" ca="1" si="78">OFFSET(V50,$E$3,0)</f>
        <v>0</v>
      </c>
    </row>
    <row r="50" spans="1:22" ht="13.95" hidden="1" customHeight="1" outlineLevel="1">
      <c r="B50" s="28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</row>
    <row r="51" spans="1:22" ht="13.95" hidden="1" customHeight="1" outlineLevel="1">
      <c r="B51" s="21" t="s">
        <v>2</v>
      </c>
      <c r="D51" s="33"/>
      <c r="E51" s="33"/>
      <c r="F51" s="33"/>
      <c r="G51" s="33"/>
      <c r="H51" s="33"/>
      <c r="I51" s="33"/>
      <c r="J51" s="33"/>
      <c r="K51" s="33">
        <v>2</v>
      </c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</row>
    <row r="52" spans="1:22" ht="13.95" hidden="1" customHeight="1" outlineLevel="1">
      <c r="B52" s="21" t="s">
        <v>3</v>
      </c>
      <c r="D52" s="33"/>
      <c r="E52" s="33"/>
      <c r="F52" s="33"/>
      <c r="G52" s="33"/>
      <c r="H52" s="33"/>
      <c r="I52" s="33"/>
      <c r="J52" s="33">
        <v>2</v>
      </c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</row>
    <row r="53" spans="1:22" ht="13.95" hidden="1" customHeight="1" outlineLevel="1">
      <c r="B53" s="21" t="s">
        <v>4</v>
      </c>
      <c r="D53" s="33"/>
      <c r="E53" s="33"/>
      <c r="F53" s="33"/>
      <c r="G53" s="33"/>
      <c r="H53" s="33"/>
      <c r="I53" s="33"/>
      <c r="J53" s="33"/>
      <c r="K53" s="33"/>
      <c r="L53" s="33">
        <v>2</v>
      </c>
      <c r="M53" s="33"/>
      <c r="N53" s="33"/>
      <c r="O53" s="33"/>
      <c r="P53" s="33"/>
      <c r="Q53" s="33"/>
      <c r="R53" s="33"/>
      <c r="S53" s="33"/>
      <c r="T53" s="33"/>
      <c r="U53" s="33"/>
      <c r="V53" s="33"/>
    </row>
    <row r="54" spans="1:22" ht="13.95" customHeight="1" collapsed="1"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</row>
    <row r="55" spans="1:22" s="31" customFormat="1" ht="13.95" customHeight="1">
      <c r="A55" s="20"/>
      <c r="B55" s="30" t="s">
        <v>17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</row>
    <row r="56" spans="1:22" ht="13.95" customHeight="1">
      <c r="B56" s="28" t="s">
        <v>9</v>
      </c>
      <c r="D56" s="32">
        <f t="shared" ref="D56" ca="1" si="79">OFFSET(D57,$E$3,0)</f>
        <v>0</v>
      </c>
      <c r="E56" s="32">
        <f t="shared" ref="E56" ca="1" si="80">OFFSET(E57,$E$3,0)</f>
        <v>20</v>
      </c>
      <c r="F56" s="32">
        <f t="shared" ref="F56" ca="1" si="81">OFFSET(F57,$E$3,0)</f>
        <v>0</v>
      </c>
      <c r="G56" s="32">
        <f t="shared" ref="G56" ca="1" si="82">OFFSET(G57,$E$3,0)</f>
        <v>0</v>
      </c>
      <c r="H56" s="32">
        <f t="shared" ref="H56" ca="1" si="83">OFFSET(H57,$E$3,0)</f>
        <v>0</v>
      </c>
      <c r="I56" s="32">
        <f t="shared" ref="I56" ca="1" si="84">OFFSET(I57,$E$3,0)</f>
        <v>0</v>
      </c>
      <c r="J56" s="32">
        <f t="shared" ref="J56" ca="1" si="85">OFFSET(J57,$E$3,0)</f>
        <v>0</v>
      </c>
      <c r="K56" s="32">
        <f t="shared" ref="K56" ca="1" si="86">OFFSET(K57,$E$3,0)</f>
        <v>0</v>
      </c>
      <c r="L56" s="32">
        <f t="shared" ref="L56" ca="1" si="87">OFFSET(L57,$E$3,0)</f>
        <v>0</v>
      </c>
      <c r="M56" s="32">
        <f t="shared" ref="M56" ca="1" si="88">OFFSET(M57,$E$3,0)</f>
        <v>0</v>
      </c>
      <c r="N56" s="32">
        <f t="shared" ref="N56" ca="1" si="89">OFFSET(N57,$E$3,0)</f>
        <v>0</v>
      </c>
      <c r="O56" s="32">
        <f t="shared" ref="O56" ca="1" si="90">OFFSET(O57,$E$3,0)</f>
        <v>0</v>
      </c>
      <c r="P56" s="32">
        <f t="shared" ref="P56" ca="1" si="91">OFFSET(P57,$E$3,0)</f>
        <v>0</v>
      </c>
      <c r="Q56" s="32">
        <f t="shared" ref="Q56" ca="1" si="92">OFFSET(Q57,$E$3,0)</f>
        <v>0</v>
      </c>
      <c r="R56" s="32">
        <f t="shared" ref="R56" ca="1" si="93">OFFSET(R57,$E$3,0)</f>
        <v>0</v>
      </c>
      <c r="S56" s="32">
        <f t="shared" ref="S56" ca="1" si="94">OFFSET(S57,$E$3,0)</f>
        <v>0</v>
      </c>
      <c r="T56" s="32">
        <f t="shared" ref="T56" ca="1" si="95">OFFSET(T57,$E$3,0)</f>
        <v>0</v>
      </c>
      <c r="U56" s="32">
        <f t="shared" ref="U56" ca="1" si="96">OFFSET(U57,$E$3,0)</f>
        <v>0</v>
      </c>
      <c r="V56" s="32">
        <f t="shared" ref="V56" ca="1" si="97">OFFSET(V57,$E$3,0)</f>
        <v>0</v>
      </c>
    </row>
    <row r="57" spans="1:22" ht="13.95" hidden="1" customHeight="1" outlineLevel="1">
      <c r="B57" s="28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</row>
    <row r="58" spans="1:22" ht="13.95" hidden="1" customHeight="1" outlineLevel="1">
      <c r="B58" s="21" t="s">
        <v>2</v>
      </c>
      <c r="D58" s="33">
        <v>0</v>
      </c>
      <c r="E58" s="33">
        <v>20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3">
        <v>0</v>
      </c>
      <c r="L58" s="33">
        <v>0</v>
      </c>
      <c r="M58" s="33">
        <v>0</v>
      </c>
      <c r="N58" s="33">
        <v>0</v>
      </c>
      <c r="O58" s="33">
        <v>0</v>
      </c>
      <c r="P58" s="33">
        <v>0</v>
      </c>
      <c r="Q58" s="33">
        <v>0</v>
      </c>
      <c r="R58" s="33">
        <v>0</v>
      </c>
      <c r="S58" s="33">
        <v>0</v>
      </c>
      <c r="T58" s="33">
        <v>0</v>
      </c>
      <c r="U58" s="33">
        <v>0</v>
      </c>
      <c r="V58" s="33">
        <v>0</v>
      </c>
    </row>
    <row r="59" spans="1:22" ht="13.95" hidden="1" customHeight="1" outlineLevel="1">
      <c r="B59" s="21" t="s">
        <v>3</v>
      </c>
      <c r="D59" s="33">
        <v>0</v>
      </c>
      <c r="E59" s="33">
        <v>20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>
        <v>0</v>
      </c>
      <c r="M59" s="33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33">
        <v>0</v>
      </c>
      <c r="V59" s="33">
        <v>0</v>
      </c>
    </row>
    <row r="60" spans="1:22" ht="13.95" hidden="1" customHeight="1" outlineLevel="1">
      <c r="B60" s="21" t="s">
        <v>4</v>
      </c>
      <c r="D60" s="33">
        <v>0</v>
      </c>
      <c r="E60" s="33">
        <v>20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  <c r="R60" s="33">
        <v>0</v>
      </c>
      <c r="S60" s="33">
        <v>0</v>
      </c>
      <c r="T60" s="33">
        <v>0</v>
      </c>
      <c r="U60" s="33">
        <v>0</v>
      </c>
      <c r="V60" s="33">
        <v>0</v>
      </c>
    </row>
    <row r="61" spans="1:22" ht="13.95" hidden="1" customHeight="1" outlineLevel="1"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</row>
    <row r="62" spans="1:22" ht="13.95" customHeight="1" collapsed="1">
      <c r="B62" s="28" t="s">
        <v>10</v>
      </c>
      <c r="D62" s="32">
        <f t="shared" ref="D62" ca="1" si="98">OFFSET(D63,$E$3,0)</f>
        <v>0</v>
      </c>
      <c r="E62" s="32">
        <f t="shared" ref="E62" ca="1" si="99">OFFSET(E63,$E$3,0)</f>
        <v>0</v>
      </c>
      <c r="F62" s="32">
        <f t="shared" ref="F62" ca="1" si="100">OFFSET(F63,$E$3,0)</f>
        <v>0</v>
      </c>
      <c r="G62" s="32">
        <f t="shared" ref="G62" ca="1" si="101">OFFSET(G63,$E$3,0)</f>
        <v>35</v>
      </c>
      <c r="H62" s="32">
        <f t="shared" ref="H62" ca="1" si="102">OFFSET(H63,$E$3,0)</f>
        <v>0</v>
      </c>
      <c r="I62" s="32">
        <f t="shared" ref="I62" ca="1" si="103">OFFSET(I63,$E$3,0)</f>
        <v>0</v>
      </c>
      <c r="J62" s="32">
        <f t="shared" ref="J62" ca="1" si="104">OFFSET(J63,$E$3,0)</f>
        <v>0</v>
      </c>
      <c r="K62" s="32">
        <f t="shared" ref="K62" ca="1" si="105">OFFSET(K63,$E$3,0)</f>
        <v>0</v>
      </c>
      <c r="L62" s="32">
        <f t="shared" ref="L62" ca="1" si="106">OFFSET(L63,$E$3,0)</f>
        <v>0</v>
      </c>
      <c r="M62" s="32">
        <f t="shared" ref="M62" ca="1" si="107">OFFSET(M63,$E$3,0)</f>
        <v>0</v>
      </c>
      <c r="N62" s="32">
        <f t="shared" ref="N62" ca="1" si="108">OFFSET(N63,$E$3,0)</f>
        <v>0</v>
      </c>
      <c r="O62" s="32">
        <f t="shared" ref="O62" ca="1" si="109">OFFSET(O63,$E$3,0)</f>
        <v>0</v>
      </c>
      <c r="P62" s="32">
        <f t="shared" ref="P62" ca="1" si="110">OFFSET(P63,$E$3,0)</f>
        <v>0</v>
      </c>
      <c r="Q62" s="32">
        <f t="shared" ref="Q62" ca="1" si="111">OFFSET(Q63,$E$3,0)</f>
        <v>0</v>
      </c>
      <c r="R62" s="32">
        <f t="shared" ref="R62" ca="1" si="112">OFFSET(R63,$E$3,0)</f>
        <v>0</v>
      </c>
      <c r="S62" s="32">
        <f t="shared" ref="S62" ca="1" si="113">OFFSET(S63,$E$3,0)</f>
        <v>0</v>
      </c>
      <c r="T62" s="32">
        <f t="shared" ref="T62" ca="1" si="114">OFFSET(T63,$E$3,0)</f>
        <v>0</v>
      </c>
      <c r="U62" s="32">
        <f t="shared" ref="U62" ca="1" si="115">OFFSET(U63,$E$3,0)</f>
        <v>0</v>
      </c>
      <c r="V62" s="32">
        <f t="shared" ref="V62" ca="1" si="116">OFFSET(V63,$E$3,0)</f>
        <v>0</v>
      </c>
    </row>
    <row r="63" spans="1:22" ht="13.95" hidden="1" customHeight="1" outlineLevel="1">
      <c r="B63" s="28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</row>
    <row r="64" spans="1:22" ht="13.95" hidden="1" customHeight="1" outlineLevel="1">
      <c r="B64" s="21" t="s">
        <v>2</v>
      </c>
      <c r="D64" s="33">
        <v>0</v>
      </c>
      <c r="E64" s="33">
        <v>0</v>
      </c>
      <c r="F64" s="33">
        <v>0</v>
      </c>
      <c r="G64" s="33">
        <v>35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  <c r="P64" s="33">
        <v>0</v>
      </c>
      <c r="Q64" s="33">
        <v>0</v>
      </c>
      <c r="R64" s="33">
        <v>0</v>
      </c>
      <c r="S64" s="33">
        <v>0</v>
      </c>
      <c r="T64" s="33">
        <v>0</v>
      </c>
      <c r="U64" s="33">
        <v>0</v>
      </c>
      <c r="V64" s="33">
        <v>0</v>
      </c>
    </row>
    <row r="65" spans="1:22" ht="13.95" hidden="1" customHeight="1" outlineLevel="1">
      <c r="B65" s="21" t="s">
        <v>3</v>
      </c>
      <c r="D65" s="33">
        <v>0</v>
      </c>
      <c r="E65" s="33">
        <v>0</v>
      </c>
      <c r="F65" s="33">
        <v>0</v>
      </c>
      <c r="G65" s="33">
        <v>35</v>
      </c>
      <c r="H65" s="33">
        <v>0</v>
      </c>
      <c r="I65" s="33">
        <v>0</v>
      </c>
      <c r="J65" s="33">
        <v>0</v>
      </c>
      <c r="K65" s="33">
        <v>0</v>
      </c>
      <c r="L65" s="33">
        <v>0</v>
      </c>
      <c r="M65" s="33">
        <v>0</v>
      </c>
      <c r="N65" s="33">
        <v>0</v>
      </c>
      <c r="O65" s="33">
        <v>0</v>
      </c>
      <c r="P65" s="33">
        <v>0</v>
      </c>
      <c r="Q65" s="33">
        <v>0</v>
      </c>
      <c r="R65" s="33">
        <v>0</v>
      </c>
      <c r="S65" s="33">
        <v>0</v>
      </c>
      <c r="T65" s="33">
        <v>0</v>
      </c>
      <c r="U65" s="33">
        <v>0</v>
      </c>
      <c r="V65" s="33">
        <v>0</v>
      </c>
    </row>
    <row r="66" spans="1:22" ht="13.95" hidden="1" customHeight="1" outlineLevel="1">
      <c r="B66" s="21" t="s">
        <v>4</v>
      </c>
      <c r="D66" s="33">
        <v>0</v>
      </c>
      <c r="E66" s="33">
        <v>0</v>
      </c>
      <c r="F66" s="33">
        <v>0</v>
      </c>
      <c r="G66" s="33">
        <v>35</v>
      </c>
      <c r="H66" s="33">
        <v>0</v>
      </c>
      <c r="I66" s="33">
        <v>0</v>
      </c>
      <c r="J66" s="33">
        <v>0</v>
      </c>
      <c r="K66" s="33">
        <v>0</v>
      </c>
      <c r="L66" s="33">
        <v>0</v>
      </c>
      <c r="M66" s="33">
        <v>0</v>
      </c>
      <c r="N66" s="33">
        <v>0</v>
      </c>
      <c r="O66" s="33">
        <v>0</v>
      </c>
      <c r="P66" s="33">
        <v>0</v>
      </c>
      <c r="Q66" s="33">
        <v>0</v>
      </c>
      <c r="R66" s="33">
        <v>0</v>
      </c>
      <c r="S66" s="33">
        <v>0</v>
      </c>
      <c r="T66" s="33">
        <v>0</v>
      </c>
      <c r="U66" s="33">
        <v>0</v>
      </c>
      <c r="V66" s="33">
        <v>0</v>
      </c>
    </row>
    <row r="67" spans="1:22" ht="13.95" hidden="1" customHeight="1" outlineLevel="1"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</row>
    <row r="68" spans="1:22" ht="13.95" customHeight="1" collapsed="1">
      <c r="B68" s="28" t="s">
        <v>11</v>
      </c>
      <c r="D68" s="32">
        <f t="shared" ref="D68" ca="1" si="117">OFFSET(D69,$E$3,0)</f>
        <v>0</v>
      </c>
      <c r="E68" s="32">
        <f t="shared" ref="E68" ca="1" si="118">OFFSET(E69,$E$3,0)</f>
        <v>0</v>
      </c>
      <c r="F68" s="32">
        <f t="shared" ref="F68" ca="1" si="119">OFFSET(F69,$E$3,0)</f>
        <v>0</v>
      </c>
      <c r="G68" s="32">
        <f t="shared" ref="G68" ca="1" si="120">OFFSET(G69,$E$3,0)</f>
        <v>0</v>
      </c>
      <c r="H68" s="32">
        <f t="shared" ref="H68" ca="1" si="121">OFFSET(H69,$E$3,0)</f>
        <v>0</v>
      </c>
      <c r="I68" s="32">
        <f t="shared" ref="I68" ca="1" si="122">OFFSET(I69,$E$3,0)</f>
        <v>0</v>
      </c>
      <c r="J68" s="32">
        <f t="shared" ref="J68" ca="1" si="123">OFFSET(J69,$E$3,0)</f>
        <v>70</v>
      </c>
      <c r="K68" s="32">
        <f t="shared" ref="K68" ca="1" si="124">OFFSET(K69,$E$3,0)</f>
        <v>0</v>
      </c>
      <c r="L68" s="32">
        <f t="shared" ref="L68" ca="1" si="125">OFFSET(L69,$E$3,0)</f>
        <v>0</v>
      </c>
      <c r="M68" s="32">
        <f t="shared" ref="M68" ca="1" si="126">OFFSET(M69,$E$3,0)</f>
        <v>0</v>
      </c>
      <c r="N68" s="32">
        <f t="shared" ref="N68" ca="1" si="127">OFFSET(N69,$E$3,0)</f>
        <v>0</v>
      </c>
      <c r="O68" s="32">
        <f t="shared" ref="O68" ca="1" si="128">OFFSET(O69,$E$3,0)</f>
        <v>0</v>
      </c>
      <c r="P68" s="32">
        <f t="shared" ref="P68" ca="1" si="129">OFFSET(P69,$E$3,0)</f>
        <v>0</v>
      </c>
      <c r="Q68" s="32">
        <f t="shared" ref="Q68" ca="1" si="130">OFFSET(Q69,$E$3,0)</f>
        <v>0</v>
      </c>
      <c r="R68" s="32">
        <f t="shared" ref="R68" ca="1" si="131">OFFSET(R69,$E$3,0)</f>
        <v>0</v>
      </c>
      <c r="S68" s="32">
        <f t="shared" ref="S68" ca="1" si="132">OFFSET(S69,$E$3,0)</f>
        <v>0</v>
      </c>
      <c r="T68" s="32">
        <f t="shared" ref="T68" ca="1" si="133">OFFSET(T69,$E$3,0)</f>
        <v>0</v>
      </c>
      <c r="U68" s="32">
        <f t="shared" ref="U68" ca="1" si="134">OFFSET(U69,$E$3,0)</f>
        <v>0</v>
      </c>
      <c r="V68" s="32">
        <f t="shared" ref="V68" ca="1" si="135">OFFSET(V69,$E$3,0)</f>
        <v>0</v>
      </c>
    </row>
    <row r="69" spans="1:22" ht="13.95" hidden="1" customHeight="1" outlineLevel="1"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</row>
    <row r="70" spans="1:22" ht="13.95" hidden="1" customHeight="1" outlineLevel="1">
      <c r="B70" s="21" t="s">
        <v>2</v>
      </c>
      <c r="D70" s="33">
        <v>0</v>
      </c>
      <c r="E70" s="33">
        <v>0</v>
      </c>
      <c r="F70" s="33">
        <v>0</v>
      </c>
      <c r="G70" s="33">
        <v>0</v>
      </c>
      <c r="H70" s="33">
        <v>0</v>
      </c>
      <c r="I70" s="33">
        <v>0</v>
      </c>
      <c r="J70" s="33">
        <v>70</v>
      </c>
      <c r="K70" s="33">
        <v>0</v>
      </c>
      <c r="L70" s="33">
        <v>0</v>
      </c>
      <c r="M70" s="33">
        <v>0</v>
      </c>
      <c r="N70" s="33">
        <v>0</v>
      </c>
      <c r="O70" s="33">
        <v>0</v>
      </c>
      <c r="P70" s="33">
        <v>0</v>
      </c>
      <c r="Q70" s="33">
        <v>0</v>
      </c>
      <c r="R70" s="33">
        <v>0</v>
      </c>
      <c r="S70" s="33">
        <v>0</v>
      </c>
      <c r="T70" s="33">
        <v>0</v>
      </c>
      <c r="U70" s="33">
        <v>0</v>
      </c>
      <c r="V70" s="33">
        <v>0</v>
      </c>
    </row>
    <row r="71" spans="1:22" ht="13.95" hidden="1" customHeight="1" outlineLevel="1">
      <c r="B71" s="21" t="s">
        <v>3</v>
      </c>
      <c r="D71" s="33">
        <v>0</v>
      </c>
      <c r="E71" s="33">
        <v>0</v>
      </c>
      <c r="F71" s="33">
        <v>0</v>
      </c>
      <c r="G71" s="33">
        <v>0</v>
      </c>
      <c r="H71" s="33">
        <v>0</v>
      </c>
      <c r="I71" s="33">
        <v>70</v>
      </c>
      <c r="J71" s="33">
        <v>0</v>
      </c>
      <c r="K71" s="33">
        <v>0</v>
      </c>
      <c r="L71" s="33">
        <v>0</v>
      </c>
      <c r="M71" s="33">
        <v>0</v>
      </c>
      <c r="N71" s="33">
        <v>0</v>
      </c>
      <c r="O71" s="33">
        <v>0</v>
      </c>
      <c r="P71" s="33">
        <v>0</v>
      </c>
      <c r="Q71" s="33">
        <v>0</v>
      </c>
      <c r="R71" s="33">
        <v>0</v>
      </c>
      <c r="S71" s="33">
        <v>0</v>
      </c>
      <c r="T71" s="33">
        <v>0</v>
      </c>
      <c r="U71" s="33">
        <v>0</v>
      </c>
      <c r="V71" s="33">
        <v>0</v>
      </c>
    </row>
    <row r="72" spans="1:22" ht="13.95" hidden="1" customHeight="1" outlineLevel="1">
      <c r="B72" s="21" t="s">
        <v>4</v>
      </c>
      <c r="D72" s="33">
        <v>0</v>
      </c>
      <c r="E72" s="33">
        <v>0</v>
      </c>
      <c r="F72" s="33">
        <v>0</v>
      </c>
      <c r="G72" s="33">
        <v>0</v>
      </c>
      <c r="H72" s="33">
        <v>0</v>
      </c>
      <c r="I72" s="33">
        <v>0</v>
      </c>
      <c r="J72" s="33">
        <v>70</v>
      </c>
      <c r="K72" s="33">
        <v>0</v>
      </c>
      <c r="L72" s="33">
        <v>0</v>
      </c>
      <c r="M72" s="33">
        <v>0</v>
      </c>
      <c r="N72" s="33">
        <v>0</v>
      </c>
      <c r="O72" s="33">
        <v>0</v>
      </c>
      <c r="P72" s="33">
        <v>0</v>
      </c>
      <c r="Q72" s="33">
        <v>0</v>
      </c>
      <c r="R72" s="33">
        <v>0</v>
      </c>
      <c r="S72" s="33">
        <v>0</v>
      </c>
      <c r="T72" s="33">
        <v>0</v>
      </c>
      <c r="U72" s="33">
        <v>0</v>
      </c>
      <c r="V72" s="33">
        <v>0</v>
      </c>
    </row>
    <row r="73" spans="1:22" ht="13.95" hidden="1" customHeight="1" outlineLevel="1"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</row>
    <row r="74" spans="1:22" ht="13.95" customHeight="1" collapsed="1">
      <c r="B74" s="28" t="s">
        <v>12</v>
      </c>
      <c r="D74" s="32">
        <f t="shared" ref="D74" ca="1" si="136">OFFSET(D75,$E$3,0)</f>
        <v>0</v>
      </c>
      <c r="E74" s="32">
        <f t="shared" ref="E74" ca="1" si="137">OFFSET(E75,$E$3,0)</f>
        <v>0</v>
      </c>
      <c r="F74" s="32">
        <f t="shared" ref="F74" ca="1" si="138">OFFSET(F75,$E$3,0)</f>
        <v>0</v>
      </c>
      <c r="G74" s="32">
        <f t="shared" ref="G74" ca="1" si="139">OFFSET(G75,$E$3,0)</f>
        <v>0</v>
      </c>
      <c r="H74" s="32">
        <f t="shared" ref="H74" ca="1" si="140">OFFSET(H75,$E$3,0)</f>
        <v>0</v>
      </c>
      <c r="I74" s="32">
        <f t="shared" ref="I74" ca="1" si="141">OFFSET(I75,$E$3,0)</f>
        <v>0</v>
      </c>
      <c r="J74" s="32">
        <f t="shared" ref="J74" ca="1" si="142">OFFSET(J75,$E$3,0)</f>
        <v>0</v>
      </c>
      <c r="K74" s="32">
        <f t="shared" ref="K74" ca="1" si="143">OFFSET(K75,$E$3,0)</f>
        <v>1</v>
      </c>
      <c r="L74" s="32">
        <f t="shared" ref="L74" ca="1" si="144">OFFSET(L75,$E$3,0)</f>
        <v>0</v>
      </c>
      <c r="M74" s="32">
        <f t="shared" ref="M74" ca="1" si="145">OFFSET(M75,$E$3,0)</f>
        <v>0</v>
      </c>
      <c r="N74" s="32">
        <f t="shared" ref="N74" ca="1" si="146">OFFSET(N75,$E$3,0)</f>
        <v>0</v>
      </c>
      <c r="O74" s="32">
        <f t="shared" ref="O74" ca="1" si="147">OFFSET(O75,$E$3,0)</f>
        <v>0</v>
      </c>
      <c r="P74" s="32">
        <f t="shared" ref="P74" ca="1" si="148">OFFSET(P75,$E$3,0)</f>
        <v>0</v>
      </c>
      <c r="Q74" s="32">
        <f t="shared" ref="Q74" ca="1" si="149">OFFSET(Q75,$E$3,0)</f>
        <v>0</v>
      </c>
      <c r="R74" s="32">
        <f t="shared" ref="R74" ca="1" si="150">OFFSET(R75,$E$3,0)</f>
        <v>0</v>
      </c>
      <c r="S74" s="32">
        <f t="shared" ref="S74" ca="1" si="151">OFFSET(S75,$E$3,0)</f>
        <v>0</v>
      </c>
      <c r="T74" s="32">
        <f t="shared" ref="T74" ca="1" si="152">OFFSET(T75,$E$3,0)</f>
        <v>0</v>
      </c>
      <c r="U74" s="32">
        <f t="shared" ref="U74" ca="1" si="153">OFFSET(U75,$E$3,0)</f>
        <v>0</v>
      </c>
      <c r="V74" s="32">
        <f t="shared" ref="V74" ca="1" si="154">OFFSET(V75,$E$3,0)</f>
        <v>0</v>
      </c>
    </row>
    <row r="75" spans="1:22" ht="13.95" hidden="1" customHeight="1" outlineLevel="1"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</row>
    <row r="76" spans="1:22" ht="13.95" hidden="1" customHeight="1" outlineLevel="1">
      <c r="B76" s="21" t="s">
        <v>2</v>
      </c>
      <c r="D76" s="33">
        <v>0</v>
      </c>
      <c r="E76" s="33">
        <v>0</v>
      </c>
      <c r="F76" s="33">
        <v>0</v>
      </c>
      <c r="G76" s="33">
        <v>0</v>
      </c>
      <c r="H76" s="33">
        <v>0</v>
      </c>
      <c r="I76" s="33">
        <v>0</v>
      </c>
      <c r="J76" s="33">
        <v>0</v>
      </c>
      <c r="K76" s="33">
        <v>1</v>
      </c>
      <c r="L76" s="33">
        <v>0</v>
      </c>
      <c r="M76" s="33">
        <v>0</v>
      </c>
      <c r="N76" s="33">
        <v>0</v>
      </c>
      <c r="O76" s="33">
        <v>0</v>
      </c>
      <c r="P76" s="33">
        <v>0</v>
      </c>
      <c r="Q76" s="33">
        <v>0</v>
      </c>
      <c r="R76" s="33">
        <v>0</v>
      </c>
      <c r="S76" s="33">
        <v>0</v>
      </c>
      <c r="T76" s="33">
        <v>0</v>
      </c>
      <c r="U76" s="33">
        <v>0</v>
      </c>
      <c r="V76" s="33">
        <v>0</v>
      </c>
    </row>
    <row r="77" spans="1:22" ht="13.95" hidden="1" customHeight="1" outlineLevel="1">
      <c r="B77" s="21" t="s">
        <v>3</v>
      </c>
      <c r="D77" s="33">
        <v>0</v>
      </c>
      <c r="E77" s="33">
        <v>0</v>
      </c>
      <c r="F77" s="33">
        <v>0</v>
      </c>
      <c r="G77" s="33">
        <v>0</v>
      </c>
      <c r="H77" s="33">
        <v>0</v>
      </c>
      <c r="I77" s="33">
        <v>0</v>
      </c>
      <c r="J77" s="33">
        <v>1</v>
      </c>
      <c r="K77" s="33">
        <v>0</v>
      </c>
      <c r="L77" s="33">
        <v>0</v>
      </c>
      <c r="M77" s="33">
        <v>0</v>
      </c>
      <c r="N77" s="33">
        <v>0</v>
      </c>
      <c r="O77" s="33">
        <v>0</v>
      </c>
      <c r="P77" s="33">
        <v>0</v>
      </c>
      <c r="Q77" s="33">
        <v>0</v>
      </c>
      <c r="R77" s="33">
        <v>0</v>
      </c>
      <c r="S77" s="33">
        <v>0</v>
      </c>
      <c r="T77" s="33">
        <v>0</v>
      </c>
      <c r="U77" s="33">
        <v>0</v>
      </c>
      <c r="V77" s="33">
        <v>0</v>
      </c>
    </row>
    <row r="78" spans="1:22" ht="13.95" hidden="1" customHeight="1" outlineLevel="1">
      <c r="B78" s="21" t="s">
        <v>4</v>
      </c>
      <c r="D78" s="33">
        <v>0</v>
      </c>
      <c r="E78" s="33">
        <v>0</v>
      </c>
      <c r="F78" s="33">
        <v>0</v>
      </c>
      <c r="G78" s="33">
        <v>0</v>
      </c>
      <c r="H78" s="33">
        <v>0</v>
      </c>
      <c r="I78" s="33">
        <v>0</v>
      </c>
      <c r="J78" s="33">
        <v>0</v>
      </c>
      <c r="K78" s="33">
        <v>1</v>
      </c>
      <c r="L78" s="33">
        <v>0</v>
      </c>
      <c r="M78" s="33">
        <v>0</v>
      </c>
      <c r="N78" s="33">
        <v>0</v>
      </c>
      <c r="O78" s="33">
        <v>0</v>
      </c>
      <c r="P78" s="33">
        <v>0</v>
      </c>
      <c r="Q78" s="33">
        <v>0</v>
      </c>
      <c r="R78" s="33">
        <v>0</v>
      </c>
      <c r="S78" s="33">
        <v>0</v>
      </c>
      <c r="T78" s="33">
        <v>0</v>
      </c>
      <c r="U78" s="33">
        <v>0</v>
      </c>
      <c r="V78" s="33">
        <v>0</v>
      </c>
    </row>
    <row r="79" spans="1:22" ht="13.95" customHeight="1" collapsed="1"/>
    <row r="80" spans="1:22" s="31" customFormat="1" ht="13.95" customHeight="1">
      <c r="A80" s="20"/>
      <c r="B80" s="30" t="s">
        <v>6</v>
      </c>
    </row>
    <row r="81" spans="1:22" ht="13.95" customHeight="1">
      <c r="B81" s="21" t="s">
        <v>8</v>
      </c>
      <c r="D81" s="36">
        <v>0.15</v>
      </c>
      <c r="E81" s="36">
        <v>0.15</v>
      </c>
      <c r="F81" s="36">
        <v>0.15</v>
      </c>
      <c r="G81" s="36">
        <v>0.15</v>
      </c>
      <c r="H81" s="36">
        <v>0.15</v>
      </c>
      <c r="I81" s="36">
        <v>0.15</v>
      </c>
      <c r="J81" s="36">
        <v>0.15</v>
      </c>
      <c r="K81" s="36">
        <v>0.15</v>
      </c>
      <c r="L81" s="36">
        <v>0.15</v>
      </c>
      <c r="M81" s="36">
        <v>0.15</v>
      </c>
      <c r="N81" s="36">
        <v>0.15</v>
      </c>
      <c r="O81" s="36">
        <v>0.15</v>
      </c>
      <c r="P81" s="36">
        <v>0.15</v>
      </c>
      <c r="Q81" s="36">
        <v>0.15</v>
      </c>
      <c r="R81" s="36">
        <v>0.15</v>
      </c>
      <c r="S81" s="36">
        <v>0.15</v>
      </c>
      <c r="T81" s="36">
        <v>0.15</v>
      </c>
      <c r="U81" s="36">
        <v>0.15</v>
      </c>
      <c r="V81" s="36">
        <v>0.15</v>
      </c>
    </row>
    <row r="82" spans="1:22" ht="13.95" customHeight="1">
      <c r="B82" s="21" t="s">
        <v>7</v>
      </c>
      <c r="D82" s="36">
        <v>0.2</v>
      </c>
      <c r="E82" s="36">
        <v>0.2</v>
      </c>
      <c r="F82" s="36">
        <v>0.2</v>
      </c>
      <c r="G82" s="36">
        <v>0.2</v>
      </c>
      <c r="H82" s="36">
        <v>0.2</v>
      </c>
      <c r="I82" s="36">
        <v>0.2</v>
      </c>
      <c r="J82" s="36">
        <v>0.2</v>
      </c>
      <c r="K82" s="36">
        <v>0.2</v>
      </c>
      <c r="L82" s="36">
        <v>0.2</v>
      </c>
      <c r="M82" s="36">
        <v>0.2</v>
      </c>
      <c r="N82" s="36">
        <v>0.2</v>
      </c>
      <c r="O82" s="36">
        <v>0.2</v>
      </c>
      <c r="P82" s="36">
        <v>0.2</v>
      </c>
      <c r="Q82" s="36">
        <v>0.2</v>
      </c>
      <c r="R82" s="36">
        <v>0.2</v>
      </c>
      <c r="S82" s="36">
        <v>0.2</v>
      </c>
      <c r="T82" s="36">
        <v>0.2</v>
      </c>
      <c r="U82" s="36">
        <v>0.2</v>
      </c>
      <c r="V82" s="36">
        <v>0.2</v>
      </c>
    </row>
    <row r="84" spans="1:22" s="31" customFormat="1" ht="13.95" customHeight="1">
      <c r="A84" s="20"/>
      <c r="B84" s="30" t="s">
        <v>13</v>
      </c>
    </row>
    <row r="85" spans="1:22" ht="13.95" customHeight="1">
      <c r="B85" s="21" t="s">
        <v>5</v>
      </c>
    </row>
    <row r="86" spans="1:22" ht="13.95" customHeight="1">
      <c r="B86" s="21">
        <v>0</v>
      </c>
      <c r="C86" s="34">
        <v>0.03</v>
      </c>
    </row>
    <row r="87" spans="1:22" ht="13.95" customHeight="1">
      <c r="B87" s="21">
        <v>100</v>
      </c>
      <c r="C87" s="34">
        <v>0.04</v>
      </c>
    </row>
    <row r="88" spans="1:22" ht="13.95" customHeight="1">
      <c r="B88" s="21">
        <v>500</v>
      </c>
      <c r="C88" s="34">
        <v>4.4999999999999998E-2</v>
      </c>
    </row>
    <row r="89" spans="1:22" ht="13.95" customHeight="1">
      <c r="B89" s="21">
        <v>1000</v>
      </c>
      <c r="C89" s="34">
        <v>5.5E-2</v>
      </c>
    </row>
    <row r="90" spans="1:22" ht="13.95" customHeight="1">
      <c r="B90" s="21">
        <v>2000</v>
      </c>
      <c r="C90" s="34">
        <v>0.06</v>
      </c>
    </row>
    <row r="91" spans="1:22" ht="13.95" customHeight="1">
      <c r="B91" s="21">
        <v>3000</v>
      </c>
      <c r="C91" s="34">
        <v>7.0000000000000007E-2</v>
      </c>
    </row>
    <row r="92" spans="1:22" ht="13.95" customHeight="1">
      <c r="B92" s="21">
        <v>4000</v>
      </c>
      <c r="C92" s="34"/>
    </row>
    <row r="94" spans="1:22" s="31" customFormat="1" ht="13.95" customHeight="1">
      <c r="A94" s="20"/>
      <c r="B94" s="30" t="s">
        <v>119</v>
      </c>
    </row>
    <row r="95" spans="1:22" ht="13.95" customHeight="1">
      <c r="B95" s="21" t="s">
        <v>123</v>
      </c>
      <c r="C95" s="36">
        <v>0.35</v>
      </c>
      <c r="D95" s="10"/>
      <c r="E95" s="10"/>
      <c r="F95" s="10"/>
      <c r="G95" s="10"/>
    </row>
    <row r="96" spans="1:22" ht="13.95" customHeight="1">
      <c r="B96" s="21" t="s">
        <v>124</v>
      </c>
      <c r="C96" s="36">
        <v>0.25</v>
      </c>
    </row>
    <row r="98" spans="2:8" ht="13.95" customHeight="1">
      <c r="B98" s="21" t="s">
        <v>65</v>
      </c>
      <c r="C98" s="37">
        <v>150</v>
      </c>
      <c r="D98" s="10"/>
      <c r="E98" s="10"/>
      <c r="F98" s="10"/>
      <c r="G98" s="10"/>
    </row>
    <row r="99" spans="2:8" ht="13.95" customHeight="1">
      <c r="B99" s="21" t="s">
        <v>66</v>
      </c>
      <c r="C99" s="21">
        <v>1000</v>
      </c>
    </row>
    <row r="100" spans="2:8" ht="13.95" customHeight="1">
      <c r="C100" s="27"/>
      <c r="D100" s="38"/>
      <c r="E100" s="38"/>
      <c r="F100" s="38"/>
      <c r="G100" s="38"/>
      <c r="H100" s="38"/>
    </row>
    <row r="101" spans="2:8" ht="13.95" customHeight="1">
      <c r="B101" s="21" t="s">
        <v>120</v>
      </c>
      <c r="C101" s="40">
        <f>-10%</f>
        <v>-0.1</v>
      </c>
    </row>
    <row r="102" spans="2:8" ht="13.95" customHeight="1">
      <c r="C102" s="27"/>
      <c r="D102" s="38"/>
      <c r="E102" s="38"/>
      <c r="F102" s="38"/>
      <c r="G102" s="38"/>
      <c r="H102" s="38"/>
    </row>
  </sheetData>
  <mergeCells count="1">
    <mergeCell ref="B2:C2"/>
  </mergeCells>
  <pageMargins left="0.75" right="0.75" top="1" bottom="1" header="0.5" footer="0.5"/>
  <pageSetup paperSize="9" orientation="portrait" horizontalDpi="4294967292" verticalDpi="4294967292" r:id="rId1"/>
  <customProperties>
    <customPr name="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Option Button 1">
              <controlPr defaultSize="0" autoFill="0" autoLine="0" autoPict="0">
                <anchor moveWithCells="1">
                  <from>
                    <xdr:col>2</xdr:col>
                    <xdr:colOff>198120</xdr:colOff>
                    <xdr:row>2</xdr:row>
                    <xdr:rowOff>30480</xdr:rowOff>
                  </from>
                  <to>
                    <xdr:col>3</xdr:col>
                    <xdr:colOff>83820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Option Button 2">
              <controlPr defaultSize="0" autoFill="0" autoLine="0" autoPict="0">
                <anchor moveWithCells="1">
                  <from>
                    <xdr:col>2</xdr:col>
                    <xdr:colOff>198120</xdr:colOff>
                    <xdr:row>3</xdr:row>
                    <xdr:rowOff>22860</xdr:rowOff>
                  </from>
                  <to>
                    <xdr:col>3</xdr:col>
                    <xdr:colOff>83820</xdr:colOff>
                    <xdr:row>3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Option Button 3">
              <controlPr defaultSize="0" autoFill="0" autoLine="0" autoPict="0">
                <anchor moveWithCells="1">
                  <from>
                    <xdr:col>2</xdr:col>
                    <xdr:colOff>198120</xdr:colOff>
                    <xdr:row>4</xdr:row>
                    <xdr:rowOff>0</xdr:rowOff>
                  </from>
                  <to>
                    <xdr:col>3</xdr:col>
                    <xdr:colOff>83820</xdr:colOff>
                    <xdr:row>4</xdr:row>
                    <xdr:rowOff>144780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"/>
  <sheetViews>
    <sheetView showGridLines="0" zoomScale="80" zoomScaleNormal="80" zoomScalePageLayoutView="95" workbookViewId="0"/>
  </sheetViews>
  <sheetFormatPr defaultColWidth="6.69921875" defaultRowHeight="16.05" customHeight="1" outlineLevelRow="1"/>
  <cols>
    <col min="1" max="1" width="0.8984375" style="20" customWidth="1"/>
    <col min="2" max="2" width="37.3984375" style="21" bestFit="1" customWidth="1"/>
    <col min="3" max="3" width="6.69921875" style="21"/>
    <col min="4" max="22" width="6.69921875" style="21" customWidth="1"/>
    <col min="23" max="23" width="10.59765625" style="39" bestFit="1" customWidth="1"/>
    <col min="24" max="16384" width="6.69921875" style="39"/>
  </cols>
  <sheetData>
    <row r="1" spans="1:22" ht="16.05" customHeight="1">
      <c r="B1" s="27" t="s">
        <v>19</v>
      </c>
      <c r="D1" s="28">
        <v>2017</v>
      </c>
      <c r="E1" s="28">
        <f>D1+1</f>
        <v>2018</v>
      </c>
      <c r="F1" s="28">
        <f t="shared" ref="F1:V1" si="0">E1+1</f>
        <v>2019</v>
      </c>
      <c r="G1" s="28">
        <f t="shared" si="0"/>
        <v>2020</v>
      </c>
      <c r="H1" s="28">
        <f t="shared" si="0"/>
        <v>2021</v>
      </c>
      <c r="I1" s="28">
        <f t="shared" si="0"/>
        <v>2022</v>
      </c>
      <c r="J1" s="28">
        <f t="shared" si="0"/>
        <v>2023</v>
      </c>
      <c r="K1" s="28">
        <f t="shared" si="0"/>
        <v>2024</v>
      </c>
      <c r="L1" s="28">
        <f t="shared" si="0"/>
        <v>2025</v>
      </c>
      <c r="M1" s="28">
        <f t="shared" si="0"/>
        <v>2026</v>
      </c>
      <c r="N1" s="28">
        <f t="shared" si="0"/>
        <v>2027</v>
      </c>
      <c r="O1" s="28">
        <f t="shared" si="0"/>
        <v>2028</v>
      </c>
      <c r="P1" s="28">
        <f t="shared" si="0"/>
        <v>2029</v>
      </c>
      <c r="Q1" s="28">
        <f t="shared" si="0"/>
        <v>2030</v>
      </c>
      <c r="R1" s="28">
        <f t="shared" si="0"/>
        <v>2031</v>
      </c>
      <c r="S1" s="28">
        <f t="shared" si="0"/>
        <v>2032</v>
      </c>
      <c r="T1" s="28">
        <f t="shared" si="0"/>
        <v>2033</v>
      </c>
      <c r="U1" s="28">
        <f>T1+1</f>
        <v>2034</v>
      </c>
      <c r="V1" s="28">
        <f t="shared" si="0"/>
        <v>2035</v>
      </c>
    </row>
    <row r="2" spans="1:22" s="31" customFormat="1" ht="16.05" customHeight="1">
      <c r="A2" s="29"/>
      <c r="B2" s="30" t="s">
        <v>0</v>
      </c>
    </row>
    <row r="3" spans="1:22" ht="16.05" customHeight="1">
      <c r="B3" s="21" t="s">
        <v>0</v>
      </c>
      <c r="C3" s="34"/>
      <c r="D3" s="33">
        <f ca="1">Inputs!D10</f>
        <v>0</v>
      </c>
      <c r="E3" s="33">
        <f ca="1">Inputs!E10</f>
        <v>0</v>
      </c>
      <c r="F3" s="33">
        <f ca="1">Inputs!F10</f>
        <v>0</v>
      </c>
      <c r="G3" s="33">
        <f ca="1">Inputs!G10</f>
        <v>0</v>
      </c>
      <c r="H3" s="33">
        <f ca="1">Inputs!H10</f>
        <v>0</v>
      </c>
      <c r="I3" s="33">
        <f ca="1">Inputs!I10</f>
        <v>0</v>
      </c>
      <c r="J3" s="33">
        <f ca="1">Inputs!J10</f>
        <v>0</v>
      </c>
      <c r="K3" s="33">
        <f ca="1">Inputs!K10</f>
        <v>100</v>
      </c>
      <c r="L3" s="33">
        <f ca="1">Inputs!L10</f>
        <v>300</v>
      </c>
      <c r="M3" s="33">
        <f ca="1">Inputs!M10</f>
        <v>500</v>
      </c>
      <c r="N3" s="33">
        <f ca="1">Inputs!N10</f>
        <v>1000</v>
      </c>
      <c r="O3" s="33">
        <f ca="1">Inputs!O10</f>
        <v>2000</v>
      </c>
      <c r="P3" s="33">
        <f ca="1">Inputs!P10</f>
        <v>2900</v>
      </c>
      <c r="Q3" s="33">
        <f ca="1">Inputs!Q10</f>
        <v>3000</v>
      </c>
      <c r="R3" s="33">
        <f ca="1">Inputs!R10</f>
        <v>3000</v>
      </c>
      <c r="S3" s="33">
        <f ca="1">Inputs!S10</f>
        <v>2500</v>
      </c>
      <c r="T3" s="33">
        <f ca="1">Inputs!T10</f>
        <v>2000</v>
      </c>
      <c r="U3" s="33">
        <f ca="1">Inputs!U10</f>
        <v>1000</v>
      </c>
      <c r="V3" s="33">
        <f ca="1">Inputs!V10</f>
        <v>500</v>
      </c>
    </row>
    <row r="4" spans="1:22" ht="16.05" customHeight="1">
      <c r="B4" s="21" t="s">
        <v>23</v>
      </c>
      <c r="C4" s="34">
        <f>Inputs!C29</f>
        <v>5.1046542911999997E-2</v>
      </c>
      <c r="D4" s="33">
        <f t="shared" ref="D4:V4" ca="1" si="1">$C4*D3</f>
        <v>0</v>
      </c>
      <c r="E4" s="33">
        <f t="shared" ca="1" si="1"/>
        <v>0</v>
      </c>
      <c r="F4" s="33">
        <f t="shared" ca="1" si="1"/>
        <v>0</v>
      </c>
      <c r="G4" s="33">
        <f t="shared" ca="1" si="1"/>
        <v>0</v>
      </c>
      <c r="H4" s="33">
        <f t="shared" ca="1" si="1"/>
        <v>0</v>
      </c>
      <c r="I4" s="33">
        <f t="shared" ca="1" si="1"/>
        <v>0</v>
      </c>
      <c r="J4" s="33">
        <f t="shared" ca="1" si="1"/>
        <v>0</v>
      </c>
      <c r="K4" s="33">
        <f t="shared" ca="1" si="1"/>
        <v>5.1046542911999992</v>
      </c>
      <c r="L4" s="33">
        <f t="shared" ca="1" si="1"/>
        <v>15.3139628736</v>
      </c>
      <c r="M4" s="33">
        <f t="shared" ca="1" si="1"/>
        <v>25.523271456</v>
      </c>
      <c r="N4" s="33">
        <f t="shared" ca="1" si="1"/>
        <v>51.046542912</v>
      </c>
      <c r="O4" s="33">
        <f t="shared" ca="1" si="1"/>
        <v>102.093085824</v>
      </c>
      <c r="P4" s="33">
        <f t="shared" ca="1" si="1"/>
        <v>148.03497444479999</v>
      </c>
      <c r="Q4" s="33">
        <f t="shared" ca="1" si="1"/>
        <v>153.13962873599999</v>
      </c>
      <c r="R4" s="33">
        <f t="shared" ca="1" si="1"/>
        <v>153.13962873599999</v>
      </c>
      <c r="S4" s="33">
        <f t="shared" ca="1" si="1"/>
        <v>127.61635727999999</v>
      </c>
      <c r="T4" s="33">
        <f t="shared" ca="1" si="1"/>
        <v>102.093085824</v>
      </c>
      <c r="U4" s="33">
        <f t="shared" ca="1" si="1"/>
        <v>51.046542912</v>
      </c>
      <c r="V4" s="33">
        <f t="shared" ca="1" si="1"/>
        <v>25.523271456</v>
      </c>
    </row>
    <row r="5" spans="1:22" ht="16.05" customHeight="1">
      <c r="B5" s="28"/>
      <c r="C5" s="34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</row>
    <row r="6" spans="1:22" s="31" customFormat="1" ht="16.05" customHeight="1">
      <c r="A6" s="29"/>
      <c r="B6" s="30" t="s">
        <v>26</v>
      </c>
    </row>
    <row r="7" spans="1:22" ht="16.05" customHeight="1">
      <c r="B7" s="21" t="s">
        <v>16</v>
      </c>
      <c r="D7" s="33">
        <f>Inputs!D17</f>
        <v>25</v>
      </c>
      <c r="E7" s="33">
        <f>Inputs!E17</f>
        <v>0</v>
      </c>
      <c r="F7" s="33">
        <f>Inputs!F17</f>
        <v>0</v>
      </c>
      <c r="G7" s="33">
        <f>Inputs!G17</f>
        <v>0</v>
      </c>
      <c r="H7" s="33">
        <f>Inputs!H17</f>
        <v>0</v>
      </c>
      <c r="I7" s="33">
        <f>Inputs!I17</f>
        <v>0</v>
      </c>
      <c r="J7" s="33">
        <f>Inputs!J17</f>
        <v>0</v>
      </c>
      <c r="K7" s="33">
        <f>Inputs!K17</f>
        <v>0</v>
      </c>
      <c r="L7" s="33">
        <f>Inputs!L17</f>
        <v>0</v>
      </c>
      <c r="M7" s="33">
        <f>Inputs!M17</f>
        <v>0</v>
      </c>
      <c r="N7" s="33">
        <f>Inputs!N17</f>
        <v>0</v>
      </c>
      <c r="O7" s="33">
        <f>Inputs!O17</f>
        <v>0</v>
      </c>
      <c r="P7" s="33">
        <f>Inputs!P17</f>
        <v>0</v>
      </c>
      <c r="Q7" s="33">
        <f>Inputs!Q17</f>
        <v>0</v>
      </c>
      <c r="R7" s="33">
        <f>Inputs!R17</f>
        <v>0</v>
      </c>
      <c r="S7" s="33">
        <f>Inputs!S17</f>
        <v>0</v>
      </c>
      <c r="T7" s="33">
        <f>Inputs!T17</f>
        <v>0</v>
      </c>
      <c r="U7" s="33">
        <f>Inputs!U17</f>
        <v>0</v>
      </c>
      <c r="V7" s="33">
        <f>Inputs!V17</f>
        <v>0</v>
      </c>
    </row>
    <row r="9" spans="1:22" s="31" customFormat="1" ht="16.05" customHeight="1">
      <c r="A9" s="29"/>
      <c r="B9" s="30" t="s">
        <v>21</v>
      </c>
    </row>
    <row r="10" spans="1:22" ht="16.05" customHeight="1">
      <c r="B10" s="28" t="s">
        <v>9</v>
      </c>
      <c r="C10" s="34">
        <f>INDEX(Inputs!$B$26:$C$29,MATCH(B10,Inputs!$B$26:$B$29,0),2)</f>
        <v>0.628</v>
      </c>
      <c r="D10" s="33">
        <f ca="1">$C10*Inputs!D31</f>
        <v>3.14</v>
      </c>
      <c r="E10" s="33">
        <f ca="1">$C10*Inputs!E31</f>
        <v>3.14</v>
      </c>
      <c r="F10" s="33">
        <f ca="1">$C10*Inputs!F31</f>
        <v>0</v>
      </c>
      <c r="G10" s="33">
        <f ca="1">$C10*Inputs!G31</f>
        <v>0</v>
      </c>
      <c r="H10" s="33">
        <f ca="1">$C10*Inputs!H31</f>
        <v>0</v>
      </c>
      <c r="I10" s="33">
        <f ca="1">$C10*Inputs!I31</f>
        <v>0</v>
      </c>
      <c r="J10" s="33">
        <f ca="1">$C10*Inputs!J31</f>
        <v>0</v>
      </c>
      <c r="K10" s="33">
        <f ca="1">$C10*Inputs!K31</f>
        <v>0</v>
      </c>
      <c r="L10" s="33">
        <f ca="1">$C10*Inputs!L31</f>
        <v>0</v>
      </c>
      <c r="M10" s="33">
        <f ca="1">$C10*Inputs!M31</f>
        <v>0</v>
      </c>
      <c r="N10" s="33">
        <f ca="1">$C10*Inputs!N31</f>
        <v>0</v>
      </c>
      <c r="O10" s="33">
        <f ca="1">$C10*Inputs!O31</f>
        <v>0</v>
      </c>
      <c r="P10" s="33">
        <f ca="1">$C10*Inputs!P31</f>
        <v>0</v>
      </c>
      <c r="Q10" s="33">
        <f ca="1">$C10*Inputs!Q31</f>
        <v>0</v>
      </c>
      <c r="R10" s="33">
        <f ca="1">$C10*Inputs!R31</f>
        <v>0</v>
      </c>
      <c r="S10" s="33">
        <f ca="1">$C10*Inputs!S31</f>
        <v>0</v>
      </c>
      <c r="T10" s="33">
        <f ca="1">$C10*Inputs!T31</f>
        <v>0</v>
      </c>
      <c r="U10" s="33">
        <f ca="1">$C10*Inputs!U31</f>
        <v>0</v>
      </c>
      <c r="V10" s="33">
        <f ca="1">$C10*Inputs!V31</f>
        <v>0</v>
      </c>
    </row>
    <row r="11" spans="1:22" ht="16.05" customHeight="1">
      <c r="B11" s="28" t="s">
        <v>10</v>
      </c>
      <c r="C11" s="34">
        <f>INDEX(Inputs!$B$26:$C$29,MATCH(B11,Inputs!$B$26:$B$29,0),2)</f>
        <v>0.15448799999999999</v>
      </c>
      <c r="D11" s="33">
        <f ca="1">$C11*Inputs!D37</f>
        <v>0</v>
      </c>
      <c r="E11" s="33">
        <f ca="1">$C11*Inputs!E37</f>
        <v>0</v>
      </c>
      <c r="F11" s="33">
        <f ca="1">$C11*Inputs!F37</f>
        <v>2.3173199999999996</v>
      </c>
      <c r="G11" s="33">
        <f ca="1">$C11*Inputs!G37</f>
        <v>2.3173199999999996</v>
      </c>
      <c r="H11" s="33">
        <f ca="1">$C11*Inputs!H37</f>
        <v>0</v>
      </c>
      <c r="I11" s="33">
        <f ca="1">$C11*Inputs!I37</f>
        <v>0</v>
      </c>
      <c r="J11" s="33">
        <f ca="1">$C11*Inputs!J37</f>
        <v>0</v>
      </c>
      <c r="K11" s="33">
        <f ca="1">$C11*Inputs!K37</f>
        <v>0</v>
      </c>
      <c r="L11" s="33">
        <f ca="1">$C11*Inputs!L37</f>
        <v>0</v>
      </c>
      <c r="M11" s="33">
        <f ca="1">$C11*Inputs!M37</f>
        <v>0</v>
      </c>
      <c r="N11" s="33">
        <f ca="1">$C11*Inputs!N37</f>
        <v>0</v>
      </c>
      <c r="O11" s="33">
        <f ca="1">$C11*Inputs!O37</f>
        <v>0</v>
      </c>
      <c r="P11" s="33">
        <f ca="1">$C11*Inputs!P37</f>
        <v>0</v>
      </c>
      <c r="Q11" s="33">
        <f ca="1">$C11*Inputs!Q37</f>
        <v>0</v>
      </c>
      <c r="R11" s="33">
        <f ca="1">$C11*Inputs!R37</f>
        <v>0</v>
      </c>
      <c r="S11" s="33">
        <f ca="1">$C11*Inputs!S37</f>
        <v>0</v>
      </c>
      <c r="T11" s="33">
        <f ca="1">$C11*Inputs!T37</f>
        <v>0</v>
      </c>
      <c r="U11" s="33">
        <f ca="1">$C11*Inputs!U37</f>
        <v>0</v>
      </c>
      <c r="V11" s="33">
        <f ca="1">$C11*Inputs!V37</f>
        <v>0</v>
      </c>
    </row>
    <row r="12" spans="1:22" ht="16.05" customHeight="1">
      <c r="B12" s="28" t="s">
        <v>11</v>
      </c>
      <c r="C12" s="34">
        <f>INDEX(Inputs!$B$26:$C$29,MATCH(B12,Inputs!$B$26:$B$29,0),2)</f>
        <v>6.1949687999999996E-2</v>
      </c>
      <c r="D12" s="33">
        <f ca="1">$C12*Inputs!D43</f>
        <v>0</v>
      </c>
      <c r="E12" s="33">
        <f ca="1">$C12*Inputs!E43</f>
        <v>0</v>
      </c>
      <c r="F12" s="33">
        <f ca="1">$C12*Inputs!F43</f>
        <v>0</v>
      </c>
      <c r="G12" s="33">
        <f ca="1">$C12*Inputs!G43</f>
        <v>0</v>
      </c>
      <c r="H12" s="33">
        <f ca="1">$C12*Inputs!H43</f>
        <v>1.5487422</v>
      </c>
      <c r="I12" s="33">
        <f ca="1">$C12*Inputs!I43</f>
        <v>1.5487422</v>
      </c>
      <c r="J12" s="33">
        <f ca="1">$C12*Inputs!J43</f>
        <v>1.5487422</v>
      </c>
      <c r="K12" s="33">
        <f ca="1">$C12*Inputs!K43</f>
        <v>0</v>
      </c>
      <c r="L12" s="33">
        <f ca="1">$C12*Inputs!L43</f>
        <v>0</v>
      </c>
      <c r="M12" s="33">
        <f ca="1">$C12*Inputs!M43</f>
        <v>0</v>
      </c>
      <c r="N12" s="33">
        <f ca="1">$C12*Inputs!N43</f>
        <v>0</v>
      </c>
      <c r="O12" s="33">
        <f ca="1">$C12*Inputs!O43</f>
        <v>0</v>
      </c>
      <c r="P12" s="33">
        <f ca="1">$C12*Inputs!P43</f>
        <v>0</v>
      </c>
      <c r="Q12" s="33">
        <f ca="1">$C12*Inputs!Q43</f>
        <v>0</v>
      </c>
      <c r="R12" s="33">
        <f ca="1">$C12*Inputs!R43</f>
        <v>0</v>
      </c>
      <c r="S12" s="33">
        <f ca="1">$C12*Inputs!S43</f>
        <v>0</v>
      </c>
      <c r="T12" s="33">
        <f ca="1">$C12*Inputs!T43</f>
        <v>0</v>
      </c>
      <c r="U12" s="33">
        <f ca="1">$C12*Inputs!U43</f>
        <v>0</v>
      </c>
      <c r="V12" s="33">
        <f ca="1">$C12*Inputs!V43</f>
        <v>0</v>
      </c>
    </row>
    <row r="13" spans="1:22" ht="16.05" customHeight="1">
      <c r="B13" s="28" t="s">
        <v>12</v>
      </c>
      <c r="C13" s="34">
        <f>INDEX(Inputs!$B$26:$C$29,MATCH(B13,Inputs!$B$26:$B$29,0),2)</f>
        <v>5.1046542911999997E-2</v>
      </c>
      <c r="D13" s="33">
        <f ca="1">$C13*Inputs!D49</f>
        <v>0</v>
      </c>
      <c r="E13" s="33">
        <f ca="1">$C13*Inputs!E49</f>
        <v>0</v>
      </c>
      <c r="F13" s="33">
        <f ca="1">$C13*Inputs!F49</f>
        <v>0</v>
      </c>
      <c r="G13" s="33">
        <f ca="1">$C13*Inputs!G49</f>
        <v>0</v>
      </c>
      <c r="H13" s="33">
        <f ca="1">$C13*Inputs!H49</f>
        <v>0</v>
      </c>
      <c r="I13" s="33">
        <f ca="1">$C13*Inputs!I49</f>
        <v>0</v>
      </c>
      <c r="J13" s="33">
        <f ca="1">$C13*Inputs!J49</f>
        <v>0</v>
      </c>
      <c r="K13" s="33">
        <f ca="1">$C13*Inputs!K49</f>
        <v>0.10209308582399999</v>
      </c>
      <c r="L13" s="33">
        <f ca="1">$C13*Inputs!L49</f>
        <v>0</v>
      </c>
      <c r="M13" s="33">
        <f ca="1">$C13*Inputs!M49</f>
        <v>0</v>
      </c>
      <c r="N13" s="33">
        <f ca="1">$C13*Inputs!N49</f>
        <v>0</v>
      </c>
      <c r="O13" s="33">
        <f ca="1">$C13*Inputs!O49</f>
        <v>0</v>
      </c>
      <c r="P13" s="33">
        <f ca="1">$C13*Inputs!P49</f>
        <v>0</v>
      </c>
      <c r="Q13" s="33">
        <f ca="1">$C13*Inputs!Q49</f>
        <v>0</v>
      </c>
      <c r="R13" s="33">
        <f ca="1">$C13*Inputs!R49</f>
        <v>0</v>
      </c>
      <c r="S13" s="33">
        <f ca="1">$C13*Inputs!S49</f>
        <v>0</v>
      </c>
      <c r="T13" s="33">
        <f ca="1">$C13*Inputs!T49</f>
        <v>0</v>
      </c>
      <c r="U13" s="33">
        <f ca="1">$C13*Inputs!U49</f>
        <v>0</v>
      </c>
      <c r="V13" s="33">
        <f ca="1">$C13*Inputs!V49</f>
        <v>0</v>
      </c>
    </row>
    <row r="14" spans="1:22" ht="16.05" customHeight="1"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</row>
    <row r="15" spans="1:22" s="31" customFormat="1" ht="16.05" customHeight="1">
      <c r="A15" s="29"/>
      <c r="B15" s="30" t="s">
        <v>25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</row>
    <row r="16" spans="1:22" ht="16.05" customHeight="1">
      <c r="B16" s="28" t="s">
        <v>9</v>
      </c>
      <c r="C16" s="34">
        <f t="shared" ref="C16:C19" si="2">C10</f>
        <v>0.628</v>
      </c>
      <c r="D16" s="33">
        <f ca="1">$C16*Inputs!D56</f>
        <v>0</v>
      </c>
      <c r="E16" s="33">
        <f ca="1">$C16*Inputs!E56</f>
        <v>12.56</v>
      </c>
      <c r="F16" s="33">
        <f ca="1">$C16*Inputs!F56</f>
        <v>0</v>
      </c>
      <c r="G16" s="33">
        <f ca="1">$C16*Inputs!G56</f>
        <v>0</v>
      </c>
      <c r="H16" s="33">
        <f ca="1">$C16*Inputs!H56</f>
        <v>0</v>
      </c>
      <c r="I16" s="33">
        <f ca="1">$C16*Inputs!I56</f>
        <v>0</v>
      </c>
      <c r="J16" s="33">
        <f ca="1">$C16*Inputs!J56</f>
        <v>0</v>
      </c>
      <c r="K16" s="33">
        <f ca="1">$C16*Inputs!K56</f>
        <v>0</v>
      </c>
      <c r="L16" s="33">
        <f ca="1">$C16*Inputs!L56</f>
        <v>0</v>
      </c>
      <c r="M16" s="33">
        <f ca="1">$C16*Inputs!M56</f>
        <v>0</v>
      </c>
      <c r="N16" s="33">
        <f ca="1">$C16*Inputs!N56</f>
        <v>0</v>
      </c>
      <c r="O16" s="33">
        <f ca="1">$C16*Inputs!O56</f>
        <v>0</v>
      </c>
      <c r="P16" s="33">
        <f ca="1">$C16*Inputs!P56</f>
        <v>0</v>
      </c>
      <c r="Q16" s="33">
        <f ca="1">$C16*Inputs!Q56</f>
        <v>0</v>
      </c>
      <c r="R16" s="33">
        <f ca="1">$C16*Inputs!R56</f>
        <v>0</v>
      </c>
      <c r="S16" s="33">
        <f ca="1">$C16*Inputs!S56</f>
        <v>0</v>
      </c>
      <c r="T16" s="33">
        <f ca="1">$C16*Inputs!T56</f>
        <v>0</v>
      </c>
      <c r="U16" s="33">
        <f ca="1">$C16*Inputs!U56</f>
        <v>0</v>
      </c>
      <c r="V16" s="33">
        <f ca="1">$C16*Inputs!V56</f>
        <v>0</v>
      </c>
    </row>
    <row r="17" spans="1:22" ht="16.05" customHeight="1">
      <c r="B17" s="28" t="s">
        <v>10</v>
      </c>
      <c r="C17" s="34">
        <f t="shared" si="2"/>
        <v>0.15448799999999999</v>
      </c>
      <c r="D17" s="33">
        <f ca="1">$C17*Inputs!D62</f>
        <v>0</v>
      </c>
      <c r="E17" s="33">
        <f ca="1">$C17*Inputs!E62</f>
        <v>0</v>
      </c>
      <c r="F17" s="33">
        <f ca="1">$C17*Inputs!F62</f>
        <v>0</v>
      </c>
      <c r="G17" s="33">
        <f ca="1">$C17*Inputs!G62</f>
        <v>5.4070799999999997</v>
      </c>
      <c r="H17" s="33">
        <f ca="1">$C17*Inputs!H62</f>
        <v>0</v>
      </c>
      <c r="I17" s="33">
        <f ca="1">$C17*Inputs!I62</f>
        <v>0</v>
      </c>
      <c r="J17" s="33">
        <f ca="1">$C17*Inputs!J62</f>
        <v>0</v>
      </c>
      <c r="K17" s="33">
        <f ca="1">$C17*Inputs!K62</f>
        <v>0</v>
      </c>
      <c r="L17" s="33">
        <f ca="1">$C17*Inputs!L62</f>
        <v>0</v>
      </c>
      <c r="M17" s="33">
        <f ca="1">$C17*Inputs!M62</f>
        <v>0</v>
      </c>
      <c r="N17" s="33">
        <f ca="1">$C17*Inputs!N62</f>
        <v>0</v>
      </c>
      <c r="O17" s="33">
        <f ca="1">$C17*Inputs!O62</f>
        <v>0</v>
      </c>
      <c r="P17" s="33">
        <f ca="1">$C17*Inputs!P62</f>
        <v>0</v>
      </c>
      <c r="Q17" s="33">
        <f ca="1">$C17*Inputs!Q62</f>
        <v>0</v>
      </c>
      <c r="R17" s="33">
        <f ca="1">$C17*Inputs!R62</f>
        <v>0</v>
      </c>
      <c r="S17" s="33">
        <f ca="1">$C17*Inputs!S62</f>
        <v>0</v>
      </c>
      <c r="T17" s="33">
        <f ca="1">$C17*Inputs!T62</f>
        <v>0</v>
      </c>
      <c r="U17" s="33">
        <f ca="1">$C17*Inputs!U62</f>
        <v>0</v>
      </c>
      <c r="V17" s="33">
        <f ca="1">$C17*Inputs!V62</f>
        <v>0</v>
      </c>
    </row>
    <row r="18" spans="1:22" ht="16.05" customHeight="1">
      <c r="B18" s="28" t="s">
        <v>11</v>
      </c>
      <c r="C18" s="34">
        <f t="shared" si="2"/>
        <v>6.1949687999999996E-2</v>
      </c>
      <c r="D18" s="33">
        <f ca="1">$C18*Inputs!D68</f>
        <v>0</v>
      </c>
      <c r="E18" s="33">
        <f ca="1">$C18*Inputs!E68</f>
        <v>0</v>
      </c>
      <c r="F18" s="33">
        <f ca="1">$C18*Inputs!F68</f>
        <v>0</v>
      </c>
      <c r="G18" s="33">
        <f ca="1">$C18*Inputs!G68</f>
        <v>0</v>
      </c>
      <c r="H18" s="33">
        <f ca="1">$C18*Inputs!H68</f>
        <v>0</v>
      </c>
      <c r="I18" s="33">
        <f ca="1">$C18*Inputs!I68</f>
        <v>0</v>
      </c>
      <c r="J18" s="33">
        <f ca="1">$C18*Inputs!J68</f>
        <v>4.3364781599999995</v>
      </c>
      <c r="K18" s="33">
        <f ca="1">$C18*Inputs!K68</f>
        <v>0</v>
      </c>
      <c r="L18" s="33">
        <f ca="1">$C18*Inputs!L68</f>
        <v>0</v>
      </c>
      <c r="M18" s="33">
        <f ca="1">$C18*Inputs!M68</f>
        <v>0</v>
      </c>
      <c r="N18" s="33">
        <f ca="1">$C18*Inputs!N68</f>
        <v>0</v>
      </c>
      <c r="O18" s="33">
        <f ca="1">$C18*Inputs!O68</f>
        <v>0</v>
      </c>
      <c r="P18" s="33">
        <f ca="1">$C18*Inputs!P68</f>
        <v>0</v>
      </c>
      <c r="Q18" s="33">
        <f ca="1">$C18*Inputs!Q68</f>
        <v>0</v>
      </c>
      <c r="R18" s="33">
        <f ca="1">$C18*Inputs!R68</f>
        <v>0</v>
      </c>
      <c r="S18" s="33">
        <f ca="1">$C18*Inputs!S68</f>
        <v>0</v>
      </c>
      <c r="T18" s="33">
        <f ca="1">$C18*Inputs!T68</f>
        <v>0</v>
      </c>
      <c r="U18" s="33">
        <f ca="1">$C18*Inputs!U68</f>
        <v>0</v>
      </c>
      <c r="V18" s="33">
        <f ca="1">$C18*Inputs!V68</f>
        <v>0</v>
      </c>
    </row>
    <row r="19" spans="1:22" ht="16.05" customHeight="1">
      <c r="B19" s="28" t="s">
        <v>12</v>
      </c>
      <c r="C19" s="34">
        <f t="shared" si="2"/>
        <v>5.1046542911999997E-2</v>
      </c>
      <c r="D19" s="33">
        <f ca="1">$C19*Inputs!D74</f>
        <v>0</v>
      </c>
      <c r="E19" s="33">
        <f ca="1">$C19*Inputs!E74</f>
        <v>0</v>
      </c>
      <c r="F19" s="33">
        <f ca="1">$C19*Inputs!F74</f>
        <v>0</v>
      </c>
      <c r="G19" s="33">
        <f ca="1">$C19*Inputs!G74</f>
        <v>0</v>
      </c>
      <c r="H19" s="33">
        <f ca="1">$C19*Inputs!H74</f>
        <v>0</v>
      </c>
      <c r="I19" s="33">
        <f ca="1">$C19*Inputs!I74</f>
        <v>0</v>
      </c>
      <c r="J19" s="33">
        <f ca="1">$C19*Inputs!J74</f>
        <v>0</v>
      </c>
      <c r="K19" s="33">
        <f ca="1">$C19*Inputs!K74</f>
        <v>5.1046542911999997E-2</v>
      </c>
      <c r="L19" s="33">
        <f ca="1">$C19*Inputs!L74</f>
        <v>0</v>
      </c>
      <c r="M19" s="33">
        <f ca="1">$C19*Inputs!M74</f>
        <v>0</v>
      </c>
      <c r="N19" s="33">
        <f ca="1">$C19*Inputs!N74</f>
        <v>0</v>
      </c>
      <c r="O19" s="33">
        <f ca="1">$C19*Inputs!O74</f>
        <v>0</v>
      </c>
      <c r="P19" s="33">
        <f ca="1">$C19*Inputs!P74</f>
        <v>0</v>
      </c>
      <c r="Q19" s="33">
        <f ca="1">$C19*Inputs!Q74</f>
        <v>0</v>
      </c>
      <c r="R19" s="33">
        <f ca="1">$C19*Inputs!R74</f>
        <v>0</v>
      </c>
      <c r="S19" s="33">
        <f ca="1">$C19*Inputs!S74</f>
        <v>0</v>
      </c>
      <c r="T19" s="33">
        <f ca="1">$C19*Inputs!T74</f>
        <v>0</v>
      </c>
      <c r="U19" s="33">
        <f ca="1">$C19*Inputs!U74</f>
        <v>0</v>
      </c>
      <c r="V19" s="33">
        <f ca="1">$C19*Inputs!V74</f>
        <v>0</v>
      </c>
    </row>
    <row r="21" spans="1:22" s="31" customFormat="1" ht="16.05" customHeight="1">
      <c r="A21" s="29"/>
      <c r="B21" s="30" t="s">
        <v>6</v>
      </c>
    </row>
    <row r="22" spans="1:22" ht="16.05" customHeight="1">
      <c r="B22" s="21" t="s">
        <v>8</v>
      </c>
      <c r="D22" s="40">
        <f>Inputs!D81</f>
        <v>0.15</v>
      </c>
      <c r="E22" s="40">
        <f>Inputs!E81</f>
        <v>0.15</v>
      </c>
      <c r="F22" s="40">
        <f>Inputs!F81</f>
        <v>0.15</v>
      </c>
      <c r="G22" s="40">
        <f>Inputs!G81</f>
        <v>0.15</v>
      </c>
      <c r="H22" s="40">
        <f>Inputs!H81</f>
        <v>0.15</v>
      </c>
      <c r="I22" s="40">
        <f>Inputs!I81</f>
        <v>0.15</v>
      </c>
      <c r="J22" s="40">
        <f>Inputs!J81</f>
        <v>0.15</v>
      </c>
      <c r="K22" s="40">
        <f>Inputs!K81</f>
        <v>0.15</v>
      </c>
      <c r="L22" s="40">
        <f>Inputs!L81</f>
        <v>0.15</v>
      </c>
      <c r="M22" s="40">
        <f>Inputs!M81</f>
        <v>0.15</v>
      </c>
      <c r="N22" s="40">
        <f>Inputs!N81</f>
        <v>0.15</v>
      </c>
      <c r="O22" s="40">
        <f>Inputs!O81</f>
        <v>0.15</v>
      </c>
      <c r="P22" s="40">
        <f>Inputs!P81</f>
        <v>0.15</v>
      </c>
      <c r="Q22" s="40">
        <f>Inputs!Q81</f>
        <v>0.15</v>
      </c>
      <c r="R22" s="40">
        <f>Inputs!R81</f>
        <v>0.15</v>
      </c>
      <c r="S22" s="40">
        <f>Inputs!S81</f>
        <v>0.15</v>
      </c>
      <c r="T22" s="40">
        <f>Inputs!T81</f>
        <v>0.15</v>
      </c>
      <c r="U22" s="40">
        <f>Inputs!U81</f>
        <v>0.15</v>
      </c>
      <c r="V22" s="40">
        <f>Inputs!V81</f>
        <v>0.15</v>
      </c>
    </row>
    <row r="23" spans="1:22" ht="16.05" customHeight="1">
      <c r="B23" s="21" t="s">
        <v>7</v>
      </c>
      <c r="D23" s="40">
        <f>Inputs!D82</f>
        <v>0.2</v>
      </c>
      <c r="E23" s="40">
        <f>Inputs!E82</f>
        <v>0.2</v>
      </c>
      <c r="F23" s="40">
        <f>Inputs!F82</f>
        <v>0.2</v>
      </c>
      <c r="G23" s="40">
        <f>Inputs!G82</f>
        <v>0.2</v>
      </c>
      <c r="H23" s="40">
        <f>Inputs!H82</f>
        <v>0.2</v>
      </c>
      <c r="I23" s="40">
        <f>Inputs!I82</f>
        <v>0.2</v>
      </c>
      <c r="J23" s="40">
        <f>Inputs!J82</f>
        <v>0.2</v>
      </c>
      <c r="K23" s="40">
        <f>Inputs!K82</f>
        <v>0.2</v>
      </c>
      <c r="L23" s="40">
        <f>Inputs!L82</f>
        <v>0.2</v>
      </c>
      <c r="M23" s="40">
        <f>Inputs!M82</f>
        <v>0.2</v>
      </c>
      <c r="N23" s="40">
        <f>Inputs!N82</f>
        <v>0.2</v>
      </c>
      <c r="O23" s="40">
        <f>Inputs!O82</f>
        <v>0.2</v>
      </c>
      <c r="P23" s="40">
        <f>Inputs!P82</f>
        <v>0.2</v>
      </c>
      <c r="Q23" s="40">
        <f>Inputs!Q82</f>
        <v>0.2</v>
      </c>
      <c r="R23" s="40">
        <f>Inputs!R82</f>
        <v>0.2</v>
      </c>
      <c r="S23" s="40">
        <f>Inputs!S82</f>
        <v>0.2</v>
      </c>
      <c r="T23" s="40">
        <f>Inputs!T82</f>
        <v>0.2</v>
      </c>
      <c r="U23" s="40">
        <f>Inputs!U82</f>
        <v>0.2</v>
      </c>
      <c r="V23" s="40">
        <f>Inputs!V82</f>
        <v>0.2</v>
      </c>
    </row>
    <row r="25" spans="1:22" s="31" customFormat="1" ht="16.05" customHeight="1">
      <c r="A25" s="29"/>
      <c r="B25" s="30" t="s">
        <v>13</v>
      </c>
    </row>
    <row r="26" spans="1:22" ht="16.05" customHeight="1">
      <c r="B26" s="21" t="s">
        <v>1</v>
      </c>
      <c r="D26" s="105">
        <f ca="1">INDEX(Inputs!$B$86:$C$92,MATCH(D3,Inputs!$B$86:$B$92,1),2)</f>
        <v>0.03</v>
      </c>
      <c r="E26" s="105">
        <f ca="1">INDEX(Inputs!$B$86:$C$92,MATCH(E3,Inputs!$B$86:$B$92,1),2)</f>
        <v>0.03</v>
      </c>
      <c r="F26" s="105">
        <f ca="1">INDEX(Inputs!$B$86:$C$92,MATCH(F3,Inputs!$B$86:$B$92,1),2)</f>
        <v>0.03</v>
      </c>
      <c r="G26" s="105">
        <f ca="1">INDEX(Inputs!$B$86:$C$92,MATCH(G3,Inputs!$B$86:$B$92,1),2)</f>
        <v>0.03</v>
      </c>
      <c r="H26" s="105">
        <f ca="1">INDEX(Inputs!$B$86:$C$92,MATCH(H3,Inputs!$B$86:$B$92,1),2)</f>
        <v>0.03</v>
      </c>
      <c r="I26" s="105">
        <f ca="1">INDEX(Inputs!$B$86:$C$92,MATCH(I3,Inputs!$B$86:$B$92,1),2)</f>
        <v>0.03</v>
      </c>
      <c r="J26" s="105">
        <f ca="1">INDEX(Inputs!$B$86:$C$92,MATCH(J3,Inputs!$B$86:$B$92,1),2)</f>
        <v>0.03</v>
      </c>
      <c r="K26" s="105">
        <f ca="1">INDEX(Inputs!$B$86:$C$92,MATCH(K3,Inputs!$B$86:$B$92,1),2)</f>
        <v>0.04</v>
      </c>
      <c r="L26" s="105">
        <f ca="1">INDEX(Inputs!$B$86:$C$92,MATCH(L3,Inputs!$B$86:$B$92,1),2)</f>
        <v>0.04</v>
      </c>
      <c r="M26" s="105">
        <f ca="1">INDEX(Inputs!$B$86:$C$92,MATCH(M3,Inputs!$B$86:$B$92,1),2)</f>
        <v>4.4999999999999998E-2</v>
      </c>
      <c r="N26" s="105">
        <f ca="1">INDEX(Inputs!$B$86:$C$92,MATCH(N3,Inputs!$B$86:$B$92,1),2)</f>
        <v>5.5E-2</v>
      </c>
      <c r="O26" s="105">
        <f ca="1">INDEX(Inputs!$B$86:$C$92,MATCH(O3,Inputs!$B$86:$B$92,1),2)</f>
        <v>0.06</v>
      </c>
      <c r="P26" s="105">
        <f ca="1">INDEX(Inputs!$B$86:$C$92,MATCH(P3,Inputs!$B$86:$B$92,1),2)</f>
        <v>0.06</v>
      </c>
      <c r="Q26" s="105">
        <f ca="1">INDEX(Inputs!$B$86:$C$92,MATCH(Q3,Inputs!$B$86:$B$92,1),2)</f>
        <v>7.0000000000000007E-2</v>
      </c>
      <c r="R26" s="105">
        <f ca="1">INDEX(Inputs!$B$86:$C$92,MATCH(R3,Inputs!$B$86:$B$92,1),2)</f>
        <v>7.0000000000000007E-2</v>
      </c>
      <c r="S26" s="105">
        <f ca="1">INDEX(Inputs!$B$86:$C$92,MATCH(S3,Inputs!$B$86:$B$92,1),2)</f>
        <v>0.06</v>
      </c>
      <c r="T26" s="105">
        <f ca="1">INDEX(Inputs!$B$86:$C$92,MATCH(T3,Inputs!$B$86:$B$92,1),2)</f>
        <v>0.06</v>
      </c>
      <c r="U26" s="105">
        <f ca="1">INDEX(Inputs!$B$86:$C$92,MATCH(U3,Inputs!$B$86:$B$92,1),2)</f>
        <v>5.5E-2</v>
      </c>
      <c r="V26" s="105">
        <f ca="1">INDEX(Inputs!$B$86:$C$92,MATCH(V3,Inputs!$B$86:$B$92,1),2)</f>
        <v>4.4999999999999998E-2</v>
      </c>
    </row>
    <row r="27" spans="1:22" ht="16.05" customHeight="1">
      <c r="B27" s="21" t="s">
        <v>24</v>
      </c>
      <c r="D27" s="42">
        <f ca="1">D26*D4</f>
        <v>0</v>
      </c>
      <c r="E27" s="42">
        <f t="shared" ref="E27:V27" ca="1" si="3">E26*E4</f>
        <v>0</v>
      </c>
      <c r="F27" s="42">
        <f t="shared" ca="1" si="3"/>
        <v>0</v>
      </c>
      <c r="G27" s="42">
        <f t="shared" ca="1" si="3"/>
        <v>0</v>
      </c>
      <c r="H27" s="42">
        <f t="shared" ca="1" si="3"/>
        <v>0</v>
      </c>
      <c r="I27" s="42">
        <f t="shared" ca="1" si="3"/>
        <v>0</v>
      </c>
      <c r="J27" s="42">
        <f t="shared" ca="1" si="3"/>
        <v>0</v>
      </c>
      <c r="K27" s="42">
        <f t="shared" ca="1" si="3"/>
        <v>0.20418617164799999</v>
      </c>
      <c r="L27" s="42">
        <f t="shared" ca="1" si="3"/>
        <v>0.61255851494400004</v>
      </c>
      <c r="M27" s="42">
        <f t="shared" ca="1" si="3"/>
        <v>1.1485472155200001</v>
      </c>
      <c r="N27" s="42">
        <f t="shared" ca="1" si="3"/>
        <v>2.80755986016</v>
      </c>
      <c r="O27" s="42">
        <f t="shared" ca="1" si="3"/>
        <v>6.12558514944</v>
      </c>
      <c r="P27" s="42">
        <f t="shared" ca="1" si="3"/>
        <v>8.8820984666879994</v>
      </c>
      <c r="Q27" s="42">
        <f t="shared" ca="1" si="3"/>
        <v>10.71977401152</v>
      </c>
      <c r="R27" s="42">
        <f t="shared" ca="1" si="3"/>
        <v>10.71977401152</v>
      </c>
      <c r="S27" s="42">
        <f t="shared" ca="1" si="3"/>
        <v>7.6569814367999989</v>
      </c>
      <c r="T27" s="42">
        <f t="shared" ca="1" si="3"/>
        <v>6.12558514944</v>
      </c>
      <c r="U27" s="42">
        <f t="shared" ca="1" si="3"/>
        <v>2.80755986016</v>
      </c>
      <c r="V27" s="42">
        <f t="shared" ca="1" si="3"/>
        <v>1.1485472155200001</v>
      </c>
    </row>
    <row r="29" spans="1:22" s="31" customFormat="1" ht="16.05" customHeight="1">
      <c r="A29" s="29"/>
      <c r="B29" s="30" t="s">
        <v>27</v>
      </c>
    </row>
    <row r="30" spans="1:22" ht="16.05" hidden="1" customHeight="1" outlineLevel="1">
      <c r="B30" s="21" t="s">
        <v>28</v>
      </c>
      <c r="D30" s="43">
        <f t="shared" ref="D30:V30" ca="1" si="4">D4*(1-D22-D23)-D7-SUM(D10:D13)-SUM(D16:D19)-D27</f>
        <v>-28.14</v>
      </c>
      <c r="E30" s="43">
        <f t="shared" ca="1" si="4"/>
        <v>-15.700000000000001</v>
      </c>
      <c r="F30" s="43">
        <f t="shared" ca="1" si="4"/>
        <v>-2.3173199999999996</v>
      </c>
      <c r="G30" s="43">
        <f t="shared" ca="1" si="4"/>
        <v>-7.7243999999999993</v>
      </c>
      <c r="H30" s="44">
        <f t="shared" ca="1" si="4"/>
        <v>-1.5487422</v>
      </c>
      <c r="I30" s="44">
        <f t="shared" ca="1" si="4"/>
        <v>-1.5487422</v>
      </c>
      <c r="J30" s="44">
        <f t="shared" ca="1" si="4"/>
        <v>-5.8852203599999999</v>
      </c>
      <c r="K30" s="44">
        <f t="shared" ca="1" si="4"/>
        <v>2.9606994888959992</v>
      </c>
      <c r="L30" s="44">
        <f t="shared" ca="1" si="4"/>
        <v>9.3415173528959983</v>
      </c>
      <c r="M30" s="44">
        <f t="shared" ca="1" si="4"/>
        <v>15.441579230879999</v>
      </c>
      <c r="N30" s="44">
        <f t="shared" ca="1" si="4"/>
        <v>30.372693032639997</v>
      </c>
      <c r="O30" s="44">
        <f t="shared" ca="1" si="4"/>
        <v>60.234920636159998</v>
      </c>
      <c r="P30" s="44">
        <f t="shared" ca="1" si="4"/>
        <v>87.340634922431974</v>
      </c>
      <c r="Q30" s="44">
        <f t="shared" ca="1" si="4"/>
        <v>88.82098466687998</v>
      </c>
      <c r="R30" s="44">
        <f t="shared" ca="1" si="4"/>
        <v>88.82098466687998</v>
      </c>
      <c r="S30" s="44">
        <f t="shared" ca="1" si="4"/>
        <v>75.29365079519998</v>
      </c>
      <c r="T30" s="44">
        <f t="shared" ca="1" si="4"/>
        <v>60.234920636159998</v>
      </c>
      <c r="U30" s="44">
        <f t="shared" ca="1" si="4"/>
        <v>30.372693032639997</v>
      </c>
      <c r="V30" s="44">
        <f t="shared" ca="1" si="4"/>
        <v>15.441579230879999</v>
      </c>
    </row>
    <row r="31" spans="1:22" ht="16.05" hidden="1" customHeight="1" outlineLevel="1"/>
    <row r="32" spans="1:22" ht="16.05" hidden="1" customHeight="1" outlineLevel="1">
      <c r="B32" s="21" t="s">
        <v>33</v>
      </c>
      <c r="D32" s="42">
        <v>0</v>
      </c>
      <c r="E32" s="42">
        <f t="shared" ref="E32:V32" ca="1" si="5">D35</f>
        <v>-28.14</v>
      </c>
      <c r="F32" s="42">
        <f t="shared" ca="1" si="5"/>
        <v>-43.84</v>
      </c>
      <c r="G32" s="42">
        <f t="shared" ca="1" si="5"/>
        <v>-46.157320000000006</v>
      </c>
      <c r="H32" s="42">
        <f t="shared" ca="1" si="5"/>
        <v>-53.881720000000001</v>
      </c>
      <c r="I32" s="42">
        <f t="shared" ca="1" si="5"/>
        <v>-55.430462200000001</v>
      </c>
      <c r="J32" s="42">
        <f t="shared" ca="1" si="5"/>
        <v>-56.9792044</v>
      </c>
      <c r="K32" s="42">
        <f t="shared" ca="1" si="5"/>
        <v>-62.864424759999999</v>
      </c>
      <c r="L32" s="42">
        <f t="shared" ca="1" si="5"/>
        <v>-59.903725271104001</v>
      </c>
      <c r="M32" s="42">
        <f t="shared" ca="1" si="5"/>
        <v>-50.562207918208003</v>
      </c>
      <c r="N32" s="42">
        <f t="shared" ca="1" si="5"/>
        <v>-35.120628687328008</v>
      </c>
      <c r="O32" s="42">
        <f t="shared" ca="1" si="5"/>
        <v>-4.7479356546880105</v>
      </c>
      <c r="P32" s="42">
        <f t="shared" ca="1" si="5"/>
        <v>0</v>
      </c>
      <c r="Q32" s="42">
        <f t="shared" ca="1" si="5"/>
        <v>0</v>
      </c>
      <c r="R32" s="42">
        <f t="shared" ca="1" si="5"/>
        <v>0</v>
      </c>
      <c r="S32" s="42">
        <f t="shared" ca="1" si="5"/>
        <v>0</v>
      </c>
      <c r="T32" s="42">
        <f t="shared" ca="1" si="5"/>
        <v>0</v>
      </c>
      <c r="U32" s="42">
        <f t="shared" ca="1" si="5"/>
        <v>0</v>
      </c>
      <c r="V32" s="42">
        <f t="shared" ca="1" si="5"/>
        <v>0</v>
      </c>
    </row>
    <row r="33" spans="2:22" ht="16.05" hidden="1" customHeight="1" outlineLevel="1">
      <c r="B33" s="36" t="s">
        <v>32</v>
      </c>
      <c r="D33" s="45">
        <f t="shared" ref="D33:V33" ca="1" si="6">-MAX(MIN(-D32,D30),0)</f>
        <v>0</v>
      </c>
      <c r="E33" s="45">
        <f t="shared" ca="1" si="6"/>
        <v>0</v>
      </c>
      <c r="F33" s="45">
        <f t="shared" ca="1" si="6"/>
        <v>0</v>
      </c>
      <c r="G33" s="45">
        <f t="shared" ca="1" si="6"/>
        <v>0</v>
      </c>
      <c r="H33" s="45">
        <f t="shared" ca="1" si="6"/>
        <v>0</v>
      </c>
      <c r="I33" s="45">
        <f t="shared" ca="1" si="6"/>
        <v>0</v>
      </c>
      <c r="J33" s="45">
        <f t="shared" ca="1" si="6"/>
        <v>0</v>
      </c>
      <c r="K33" s="45">
        <f t="shared" ca="1" si="6"/>
        <v>-2.9606994888959992</v>
      </c>
      <c r="L33" s="45">
        <f t="shared" ca="1" si="6"/>
        <v>-9.3415173528959983</v>
      </c>
      <c r="M33" s="45">
        <f t="shared" ca="1" si="6"/>
        <v>-15.441579230879999</v>
      </c>
      <c r="N33" s="45">
        <f t="shared" ca="1" si="6"/>
        <v>-30.372693032639997</v>
      </c>
      <c r="O33" s="45">
        <f t="shared" ca="1" si="6"/>
        <v>-4.7479356546880105</v>
      </c>
      <c r="P33" s="45">
        <f t="shared" ca="1" si="6"/>
        <v>0</v>
      </c>
      <c r="Q33" s="45">
        <f t="shared" ca="1" si="6"/>
        <v>0</v>
      </c>
      <c r="R33" s="45">
        <f t="shared" ca="1" si="6"/>
        <v>0</v>
      </c>
      <c r="S33" s="45">
        <f t="shared" ca="1" si="6"/>
        <v>0</v>
      </c>
      <c r="T33" s="45">
        <f t="shared" ca="1" si="6"/>
        <v>0</v>
      </c>
      <c r="U33" s="45">
        <f t="shared" ca="1" si="6"/>
        <v>0</v>
      </c>
      <c r="V33" s="45">
        <f t="shared" ca="1" si="6"/>
        <v>0</v>
      </c>
    </row>
    <row r="34" spans="2:22" ht="16.05" hidden="1" customHeight="1" outlineLevel="1">
      <c r="B34" s="36" t="s">
        <v>35</v>
      </c>
      <c r="D34" s="45">
        <f t="shared" ref="D34:V34" ca="1" si="7">IF(D30&lt;0,D30,0)</f>
        <v>-28.14</v>
      </c>
      <c r="E34" s="45">
        <f t="shared" ca="1" si="7"/>
        <v>-15.700000000000001</v>
      </c>
      <c r="F34" s="45">
        <f t="shared" ca="1" si="7"/>
        <v>-2.3173199999999996</v>
      </c>
      <c r="G34" s="45">
        <f t="shared" ca="1" si="7"/>
        <v>-7.7243999999999993</v>
      </c>
      <c r="H34" s="45">
        <f t="shared" ca="1" si="7"/>
        <v>-1.5487422</v>
      </c>
      <c r="I34" s="45">
        <f t="shared" ca="1" si="7"/>
        <v>-1.5487422</v>
      </c>
      <c r="J34" s="45">
        <f t="shared" ca="1" si="7"/>
        <v>-5.8852203599999999</v>
      </c>
      <c r="K34" s="45">
        <f t="shared" ca="1" si="7"/>
        <v>0</v>
      </c>
      <c r="L34" s="45">
        <f t="shared" ca="1" si="7"/>
        <v>0</v>
      </c>
      <c r="M34" s="45">
        <f t="shared" ca="1" si="7"/>
        <v>0</v>
      </c>
      <c r="N34" s="45">
        <f t="shared" ca="1" si="7"/>
        <v>0</v>
      </c>
      <c r="O34" s="45">
        <f t="shared" ca="1" si="7"/>
        <v>0</v>
      </c>
      <c r="P34" s="45">
        <f t="shared" ca="1" si="7"/>
        <v>0</v>
      </c>
      <c r="Q34" s="45">
        <f t="shared" ca="1" si="7"/>
        <v>0</v>
      </c>
      <c r="R34" s="45">
        <f t="shared" ca="1" si="7"/>
        <v>0</v>
      </c>
      <c r="S34" s="45">
        <f t="shared" ca="1" si="7"/>
        <v>0</v>
      </c>
      <c r="T34" s="45">
        <f t="shared" ca="1" si="7"/>
        <v>0</v>
      </c>
      <c r="U34" s="45">
        <f t="shared" ca="1" si="7"/>
        <v>0</v>
      </c>
      <c r="V34" s="45">
        <f t="shared" ca="1" si="7"/>
        <v>0</v>
      </c>
    </row>
    <row r="35" spans="2:22" ht="16.05" hidden="1" customHeight="1" outlineLevel="1">
      <c r="B35" s="21" t="s">
        <v>34</v>
      </c>
      <c r="D35" s="45">
        <f t="shared" ref="D35:V35" ca="1" si="8">D32+D34-D33</f>
        <v>-28.14</v>
      </c>
      <c r="E35" s="45">
        <f t="shared" ca="1" si="8"/>
        <v>-43.84</v>
      </c>
      <c r="F35" s="45">
        <f t="shared" ca="1" si="8"/>
        <v>-46.157320000000006</v>
      </c>
      <c r="G35" s="45">
        <f t="shared" ca="1" si="8"/>
        <v>-53.881720000000001</v>
      </c>
      <c r="H35" s="45">
        <f t="shared" ca="1" si="8"/>
        <v>-55.430462200000001</v>
      </c>
      <c r="I35" s="45">
        <f t="shared" ca="1" si="8"/>
        <v>-56.9792044</v>
      </c>
      <c r="J35" s="45">
        <f t="shared" ca="1" si="8"/>
        <v>-62.864424759999999</v>
      </c>
      <c r="K35" s="45">
        <f t="shared" ca="1" si="8"/>
        <v>-59.903725271104001</v>
      </c>
      <c r="L35" s="45">
        <f t="shared" ca="1" si="8"/>
        <v>-50.562207918208003</v>
      </c>
      <c r="M35" s="45">
        <f t="shared" ca="1" si="8"/>
        <v>-35.120628687328008</v>
      </c>
      <c r="N35" s="45">
        <f t="shared" ca="1" si="8"/>
        <v>-4.7479356546880105</v>
      </c>
      <c r="O35" s="45">
        <f t="shared" ca="1" si="8"/>
        <v>0</v>
      </c>
      <c r="P35" s="45">
        <f t="shared" ca="1" si="8"/>
        <v>0</v>
      </c>
      <c r="Q35" s="45">
        <f t="shared" ca="1" si="8"/>
        <v>0</v>
      </c>
      <c r="R35" s="45">
        <f t="shared" ca="1" si="8"/>
        <v>0</v>
      </c>
      <c r="S35" s="45">
        <f t="shared" ca="1" si="8"/>
        <v>0</v>
      </c>
      <c r="T35" s="45">
        <f t="shared" ca="1" si="8"/>
        <v>0</v>
      </c>
      <c r="U35" s="45">
        <f t="shared" ca="1" si="8"/>
        <v>0</v>
      </c>
      <c r="V35" s="45">
        <f t="shared" ca="1" si="8"/>
        <v>0</v>
      </c>
    </row>
    <row r="36" spans="2:22" ht="16.05" hidden="1" customHeight="1" outlineLevel="1"/>
    <row r="37" spans="2:22" ht="16.05" hidden="1" customHeight="1" outlineLevel="1">
      <c r="B37" s="21" t="s">
        <v>30</v>
      </c>
      <c r="D37" s="45">
        <f t="shared" ref="D37:V37" ca="1" si="9">D30+D33</f>
        <v>-28.14</v>
      </c>
      <c r="E37" s="45">
        <f t="shared" ca="1" si="9"/>
        <v>-15.700000000000001</v>
      </c>
      <c r="F37" s="45">
        <f t="shared" ca="1" si="9"/>
        <v>-2.3173199999999996</v>
      </c>
      <c r="G37" s="45">
        <f t="shared" ca="1" si="9"/>
        <v>-7.7243999999999993</v>
      </c>
      <c r="H37" s="45">
        <f t="shared" ca="1" si="9"/>
        <v>-1.5487422</v>
      </c>
      <c r="I37" s="45">
        <f t="shared" ca="1" si="9"/>
        <v>-1.5487422</v>
      </c>
      <c r="J37" s="45">
        <f t="shared" ca="1" si="9"/>
        <v>-5.8852203599999999</v>
      </c>
      <c r="K37" s="45">
        <f t="shared" ca="1" si="9"/>
        <v>0</v>
      </c>
      <c r="L37" s="45">
        <f t="shared" ca="1" si="9"/>
        <v>0</v>
      </c>
      <c r="M37" s="45">
        <f t="shared" ca="1" si="9"/>
        <v>0</v>
      </c>
      <c r="N37" s="45">
        <f t="shared" ca="1" si="9"/>
        <v>0</v>
      </c>
      <c r="O37" s="45">
        <f t="shared" ca="1" si="9"/>
        <v>55.486984981471991</v>
      </c>
      <c r="P37" s="45">
        <f t="shared" ca="1" si="9"/>
        <v>87.340634922431974</v>
      </c>
      <c r="Q37" s="45">
        <f t="shared" ca="1" si="9"/>
        <v>88.82098466687998</v>
      </c>
      <c r="R37" s="45">
        <f t="shared" ca="1" si="9"/>
        <v>88.82098466687998</v>
      </c>
      <c r="S37" s="45">
        <f t="shared" ca="1" si="9"/>
        <v>75.29365079519998</v>
      </c>
      <c r="T37" s="45">
        <f t="shared" ca="1" si="9"/>
        <v>60.234920636159998</v>
      </c>
      <c r="U37" s="45">
        <f t="shared" ca="1" si="9"/>
        <v>30.372693032639997</v>
      </c>
      <c r="V37" s="45">
        <f t="shared" ca="1" si="9"/>
        <v>15.441579230879999</v>
      </c>
    </row>
    <row r="38" spans="2:22" ht="16.05" hidden="1" customHeight="1" outlineLevel="1">
      <c r="B38" s="21" t="s">
        <v>31</v>
      </c>
      <c r="C38" s="36"/>
      <c r="D38" s="42">
        <f ca="1">IF(D37&lt;=0,0,Inputs!$C$95*D37)</f>
        <v>0</v>
      </c>
      <c r="E38" s="42">
        <f ca="1">IF(E37&lt;=0,0,Inputs!$C$95*E37)</f>
        <v>0</v>
      </c>
      <c r="F38" s="42">
        <f ca="1">IF(F37&lt;=0,0,Inputs!$C$95*F37)</f>
        <v>0</v>
      </c>
      <c r="G38" s="42">
        <f ca="1">IF(G37&lt;=0,0,Inputs!$C$95*G37)</f>
        <v>0</v>
      </c>
      <c r="H38" s="42">
        <f ca="1">IF(H37&lt;=0,0,Inputs!$C$95*H37)</f>
        <v>0</v>
      </c>
      <c r="I38" s="42">
        <f ca="1">IF(I37&lt;=0,0,Inputs!$C$95*I37)</f>
        <v>0</v>
      </c>
      <c r="J38" s="42">
        <f ca="1">IF(J37&lt;=0,0,Inputs!$C$95*J37)</f>
        <v>0</v>
      </c>
      <c r="K38" s="42">
        <f ca="1">IF(K37&lt;=0,0,Inputs!$C$95*K37)</f>
        <v>0</v>
      </c>
      <c r="L38" s="42">
        <f ca="1">IF(L37&lt;=0,0,Inputs!$C$95*L37)</f>
        <v>0</v>
      </c>
      <c r="M38" s="42">
        <f ca="1">IF(M37&lt;=0,0,Inputs!$C$95*M37)</f>
        <v>0</v>
      </c>
      <c r="N38" s="42">
        <f ca="1">IF(N37&lt;=0,0,Inputs!$C$95*N37)</f>
        <v>0</v>
      </c>
      <c r="O38" s="42">
        <f ca="1">IF(O37&lt;=0,0,Inputs!$C$95*O37)</f>
        <v>19.420444743515194</v>
      </c>
      <c r="P38" s="42">
        <f ca="1">IF(P37&lt;=0,0,Inputs!$C$95*P37)</f>
        <v>30.569222222851188</v>
      </c>
      <c r="Q38" s="42">
        <f ca="1">IF(Q37&lt;=0,0,Inputs!$C$95*Q37)</f>
        <v>31.087344633407991</v>
      </c>
      <c r="R38" s="42">
        <f ca="1">IF(R37&lt;=0,0,Inputs!$C$95*R37)</f>
        <v>31.087344633407991</v>
      </c>
      <c r="S38" s="42">
        <f ca="1">IF(S37&lt;=0,0,Inputs!$C$95*S37)</f>
        <v>26.352777778319993</v>
      </c>
      <c r="T38" s="42">
        <f ca="1">IF(T37&lt;=0,0,Inputs!$C$95*T37)</f>
        <v>21.082222222655997</v>
      </c>
      <c r="U38" s="42">
        <f ca="1">IF(U37&lt;=0,0,Inputs!$C$95*U37)</f>
        <v>10.630442561423999</v>
      </c>
      <c r="V38" s="42">
        <f ca="1">IF(V37&lt;=0,0,Inputs!$C$95*V37)</f>
        <v>5.4045527308079988</v>
      </c>
    </row>
    <row r="39" spans="2:22" ht="16.05" customHeight="1" collapsed="1"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</row>
    <row r="40" spans="2:22" ht="16.05" customHeight="1">
      <c r="B40" s="28" t="s">
        <v>29</v>
      </c>
      <c r="C40" s="28"/>
      <c r="D40" s="46">
        <f t="shared" ref="D40:V40" ca="1" si="10">D30-D38</f>
        <v>-28.14</v>
      </c>
      <c r="E40" s="46">
        <f t="shared" ca="1" si="10"/>
        <v>-15.700000000000001</v>
      </c>
      <c r="F40" s="46">
        <f t="shared" ca="1" si="10"/>
        <v>-2.3173199999999996</v>
      </c>
      <c r="G40" s="46">
        <f t="shared" ca="1" si="10"/>
        <v>-7.7243999999999993</v>
      </c>
      <c r="H40" s="46">
        <f t="shared" ca="1" si="10"/>
        <v>-1.5487422</v>
      </c>
      <c r="I40" s="46">
        <f t="shared" ca="1" si="10"/>
        <v>-1.5487422</v>
      </c>
      <c r="J40" s="46">
        <f t="shared" ca="1" si="10"/>
        <v>-5.8852203599999999</v>
      </c>
      <c r="K40" s="46">
        <f t="shared" ca="1" si="10"/>
        <v>2.9606994888959992</v>
      </c>
      <c r="L40" s="46">
        <f t="shared" ca="1" si="10"/>
        <v>9.3415173528959983</v>
      </c>
      <c r="M40" s="46">
        <f t="shared" ca="1" si="10"/>
        <v>15.441579230879999</v>
      </c>
      <c r="N40" s="46">
        <f t="shared" ca="1" si="10"/>
        <v>30.372693032639997</v>
      </c>
      <c r="O40" s="46">
        <f t="shared" ca="1" si="10"/>
        <v>40.814475892644808</v>
      </c>
      <c r="P40" s="46">
        <f t="shared" ca="1" si="10"/>
        <v>56.771412699580786</v>
      </c>
      <c r="Q40" s="46">
        <f t="shared" ca="1" si="10"/>
        <v>57.733640033471985</v>
      </c>
      <c r="R40" s="46">
        <f t="shared" ca="1" si="10"/>
        <v>57.733640033471985</v>
      </c>
      <c r="S40" s="46">
        <f t="shared" ca="1" si="10"/>
        <v>48.940873016879991</v>
      </c>
      <c r="T40" s="46">
        <f t="shared" ca="1" si="10"/>
        <v>39.152698413503998</v>
      </c>
      <c r="U40" s="46">
        <f t="shared" ca="1" si="10"/>
        <v>19.742250471215996</v>
      </c>
      <c r="V40" s="46">
        <f t="shared" ca="1" si="10"/>
        <v>10.037026500071999</v>
      </c>
    </row>
    <row r="41" spans="2:22" ht="16.05" hidden="1" customHeight="1" outlineLevel="1">
      <c r="B41" s="21" t="s">
        <v>36</v>
      </c>
      <c r="D41" s="42">
        <f>((DATE(D1,12,31)-DATE((D1),1,1))/365)/2</f>
        <v>0.49863013698630138</v>
      </c>
      <c r="E41" s="42">
        <f t="shared" ref="E41:V41" si="11">D41+1</f>
        <v>1.4986301369863013</v>
      </c>
      <c r="F41" s="42">
        <f t="shared" si="11"/>
        <v>2.4986301369863013</v>
      </c>
      <c r="G41" s="42">
        <f t="shared" si="11"/>
        <v>3.4986301369863013</v>
      </c>
      <c r="H41" s="42">
        <f t="shared" si="11"/>
        <v>4.4986301369863018</v>
      </c>
      <c r="I41" s="42">
        <f t="shared" si="11"/>
        <v>5.4986301369863018</v>
      </c>
      <c r="J41" s="42">
        <f t="shared" si="11"/>
        <v>6.4986301369863018</v>
      </c>
      <c r="K41" s="42">
        <f t="shared" si="11"/>
        <v>7.4986301369863018</v>
      </c>
      <c r="L41" s="42">
        <f t="shared" si="11"/>
        <v>8.4986301369863018</v>
      </c>
      <c r="M41" s="42">
        <f t="shared" si="11"/>
        <v>9.4986301369863018</v>
      </c>
      <c r="N41" s="42">
        <f t="shared" si="11"/>
        <v>10.498630136986302</v>
      </c>
      <c r="O41" s="42">
        <f t="shared" si="11"/>
        <v>11.498630136986302</v>
      </c>
      <c r="P41" s="42">
        <f t="shared" si="11"/>
        <v>12.498630136986302</v>
      </c>
      <c r="Q41" s="42">
        <f t="shared" si="11"/>
        <v>13.498630136986302</v>
      </c>
      <c r="R41" s="42">
        <f t="shared" si="11"/>
        <v>14.498630136986302</v>
      </c>
      <c r="S41" s="42">
        <f t="shared" si="11"/>
        <v>15.498630136986302</v>
      </c>
      <c r="T41" s="42">
        <f t="shared" si="11"/>
        <v>16.4986301369863</v>
      </c>
      <c r="U41" s="42">
        <f t="shared" si="11"/>
        <v>17.4986301369863</v>
      </c>
      <c r="V41" s="42">
        <f t="shared" si="11"/>
        <v>18.4986301369863</v>
      </c>
    </row>
    <row r="42" spans="2:22" ht="16.05" hidden="1" customHeight="1" outlineLevel="1">
      <c r="B42" s="21" t="s">
        <v>37</v>
      </c>
      <c r="D42" s="41">
        <f>WACC!$C$22</f>
        <v>0.10199999999999999</v>
      </c>
      <c r="E42" s="41">
        <f>WACC!$C$22</f>
        <v>0.10199999999999999</v>
      </c>
      <c r="F42" s="41">
        <f>WACC!$C$22</f>
        <v>0.10199999999999999</v>
      </c>
      <c r="G42" s="41">
        <f>WACC!$C$22</f>
        <v>0.10199999999999999</v>
      </c>
      <c r="H42" s="41">
        <f>WACC!$C$22</f>
        <v>0.10199999999999999</v>
      </c>
      <c r="I42" s="41">
        <f>WACC!$C$22</f>
        <v>0.10199999999999999</v>
      </c>
      <c r="J42" s="41">
        <f>WACC!$C$22</f>
        <v>0.10199999999999999</v>
      </c>
      <c r="K42" s="41">
        <f>WACC!$C$22</f>
        <v>0.10199999999999999</v>
      </c>
      <c r="L42" s="41">
        <f>WACC!$C$22</f>
        <v>0.10199999999999999</v>
      </c>
      <c r="M42" s="41">
        <f>WACC!$C$22</f>
        <v>0.10199999999999999</v>
      </c>
      <c r="N42" s="41">
        <f>WACC!$C$22</f>
        <v>0.10199999999999999</v>
      </c>
      <c r="O42" s="41">
        <f>WACC!$C$22</f>
        <v>0.10199999999999999</v>
      </c>
      <c r="P42" s="41">
        <f>WACC!$C$22</f>
        <v>0.10199999999999999</v>
      </c>
      <c r="Q42" s="41">
        <f>WACC!$C$22</f>
        <v>0.10199999999999999</v>
      </c>
      <c r="R42" s="41">
        <f>WACC!$C$22</f>
        <v>0.10199999999999999</v>
      </c>
      <c r="S42" s="41">
        <f>WACC!$C$22</f>
        <v>0.10199999999999999</v>
      </c>
      <c r="T42" s="41">
        <f>WACC!$C$22</f>
        <v>0.10199999999999999</v>
      </c>
      <c r="U42" s="41">
        <f>WACC!$C$22</f>
        <v>0.10199999999999999</v>
      </c>
      <c r="V42" s="41">
        <f>WACC!$C$22</f>
        <v>0.10199999999999999</v>
      </c>
    </row>
    <row r="43" spans="2:22" ht="16.05" hidden="1" customHeight="1" outlineLevel="1">
      <c r="B43" s="21" t="s">
        <v>116</v>
      </c>
      <c r="D43" s="102">
        <f t="shared" ref="D43:V43" si="12">1/(1+D42)^D41</f>
        <v>0.95272373699980362</v>
      </c>
      <c r="E43" s="102">
        <f t="shared" si="12"/>
        <v>0.86454059618856949</v>
      </c>
      <c r="F43" s="102">
        <f t="shared" si="12"/>
        <v>0.78451959726730425</v>
      </c>
      <c r="G43" s="102">
        <f t="shared" si="12"/>
        <v>0.71190526067813442</v>
      </c>
      <c r="H43" s="102">
        <f t="shared" si="12"/>
        <v>0.64601203328324353</v>
      </c>
      <c r="I43" s="102">
        <f t="shared" si="12"/>
        <v>0.58621781604650047</v>
      </c>
      <c r="J43" s="102">
        <f t="shared" si="12"/>
        <v>0.53195809078629808</v>
      </c>
      <c r="K43" s="102">
        <f t="shared" si="12"/>
        <v>0.48272059055017968</v>
      </c>
      <c r="L43" s="102">
        <f t="shared" si="12"/>
        <v>0.43804046329417384</v>
      </c>
      <c r="M43" s="102">
        <f t="shared" si="12"/>
        <v>0.39749588320705431</v>
      </c>
      <c r="N43" s="102">
        <f t="shared" si="12"/>
        <v>0.36070406824596579</v>
      </c>
      <c r="O43" s="102">
        <f t="shared" si="12"/>
        <v>0.32731766628490538</v>
      </c>
      <c r="P43" s="102">
        <f t="shared" si="12"/>
        <v>0.29702147575762738</v>
      </c>
      <c r="Q43" s="102">
        <f t="shared" si="12"/>
        <v>0.2695294698345076</v>
      </c>
      <c r="R43" s="102">
        <f t="shared" si="12"/>
        <v>0.24458209603857306</v>
      </c>
      <c r="S43" s="102">
        <f t="shared" si="12"/>
        <v>0.22194382580632765</v>
      </c>
      <c r="T43" s="102">
        <f t="shared" si="12"/>
        <v>0.20140093085873656</v>
      </c>
      <c r="U43" s="102">
        <f t="shared" si="12"/>
        <v>0.18275946538905311</v>
      </c>
      <c r="V43" s="102">
        <f t="shared" si="12"/>
        <v>0.16584343501728957</v>
      </c>
    </row>
    <row r="44" spans="2:22" ht="16.05" hidden="1" customHeight="1" outlineLevel="1">
      <c r="B44" s="21" t="s">
        <v>115</v>
      </c>
      <c r="D44" s="102">
        <f ca="1">SUMPRODUCT(L43:V43,L40:V40)</f>
        <v>105.10881316154733</v>
      </c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</row>
    <row r="45" spans="2:22" ht="16.05" hidden="1" customHeight="1" outlineLevel="1">
      <c r="B45" s="21" t="s">
        <v>117</v>
      </c>
      <c r="D45" s="102">
        <f ca="1">SUMPRODUCT(D43:K43,D40:K40)</f>
        <v>-51.309863616654035</v>
      </c>
      <c r="E45" s="102"/>
      <c r="F45" s="102"/>
      <c r="G45" s="102"/>
      <c r="H45" s="102"/>
      <c r="I45" s="102"/>
      <c r="J45" s="102"/>
      <c r="K45" s="102"/>
      <c r="L45" s="102"/>
      <c r="M45" s="41"/>
      <c r="N45" s="41"/>
      <c r="O45" s="41"/>
      <c r="P45" s="41"/>
      <c r="Q45" s="41"/>
      <c r="R45" s="41"/>
      <c r="S45" s="41"/>
      <c r="T45" s="41"/>
      <c r="U45" s="41"/>
      <c r="V45" s="41"/>
    </row>
    <row r="46" spans="2:22" ht="16.05" hidden="1" customHeight="1" outlineLevel="1">
      <c r="B46" s="21" t="s">
        <v>118</v>
      </c>
      <c r="D46" s="102">
        <f ca="1">(V40*(1+Inputs!$C$101)/(V42-Inputs!$C$101))*V43*K43</f>
        <v>3.5800601164215893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</row>
    <row r="47" spans="2:22" ht="16.05" customHeight="1" collapsed="1">
      <c r="B47" s="103" t="s">
        <v>121</v>
      </c>
      <c r="C47" s="103"/>
      <c r="D47" s="104">
        <f ca="1">SUM(D44:D46)</f>
        <v>57.379009661314889</v>
      </c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</row>
    <row r="49" spans="2:22" ht="16.05" hidden="1" customHeight="1" outlineLevel="1">
      <c r="B49" s="21" t="s">
        <v>122</v>
      </c>
      <c r="D49" s="102">
        <f t="shared" ref="D49:V49" ca="1" si="13">D7+D27+SUM(D16:D19)+SUM(D10:D13)</f>
        <v>28.14</v>
      </c>
      <c r="E49" s="102">
        <f t="shared" ca="1" si="13"/>
        <v>15.700000000000001</v>
      </c>
      <c r="F49" s="102">
        <f t="shared" ca="1" si="13"/>
        <v>2.3173199999999996</v>
      </c>
      <c r="G49" s="102">
        <f t="shared" ca="1" si="13"/>
        <v>7.7243999999999993</v>
      </c>
      <c r="H49" s="102">
        <f t="shared" ca="1" si="13"/>
        <v>1.5487422</v>
      </c>
      <c r="I49" s="102">
        <f t="shared" ca="1" si="13"/>
        <v>1.5487422</v>
      </c>
      <c r="J49" s="102">
        <f t="shared" ca="1" si="13"/>
        <v>5.8852203599999999</v>
      </c>
      <c r="K49" s="102">
        <f t="shared" ca="1" si="13"/>
        <v>0.35732580038399997</v>
      </c>
      <c r="L49" s="102">
        <f t="shared" ca="1" si="13"/>
        <v>0.61255851494400004</v>
      </c>
      <c r="M49" s="102">
        <f t="shared" ca="1" si="13"/>
        <v>1.1485472155200001</v>
      </c>
      <c r="N49" s="102">
        <f t="shared" ca="1" si="13"/>
        <v>2.80755986016</v>
      </c>
      <c r="O49" s="102">
        <f t="shared" ca="1" si="13"/>
        <v>6.12558514944</v>
      </c>
      <c r="P49" s="102">
        <f t="shared" ca="1" si="13"/>
        <v>8.8820984666879994</v>
      </c>
      <c r="Q49" s="102">
        <f t="shared" ca="1" si="13"/>
        <v>10.71977401152</v>
      </c>
      <c r="R49" s="102">
        <f t="shared" ca="1" si="13"/>
        <v>10.71977401152</v>
      </c>
      <c r="S49" s="102">
        <f t="shared" ca="1" si="13"/>
        <v>7.6569814367999989</v>
      </c>
      <c r="T49" s="102">
        <f t="shared" ca="1" si="13"/>
        <v>6.12558514944</v>
      </c>
      <c r="U49" s="102">
        <f t="shared" ca="1" si="13"/>
        <v>2.80755986016</v>
      </c>
      <c r="V49" s="102">
        <f t="shared" ca="1" si="13"/>
        <v>1.1485472155200001</v>
      </c>
    </row>
    <row r="50" spans="2:22" ht="16.05" hidden="1" customHeight="1" outlineLevel="1">
      <c r="B50" s="21" t="s">
        <v>31</v>
      </c>
      <c r="C50" s="36"/>
      <c r="D50" s="42">
        <f ca="1">IF(D3&lt;=0,D49*Inputs!$C$96,Inputs!$C$95*D49)</f>
        <v>7.0350000000000001</v>
      </c>
      <c r="E50" s="42">
        <f ca="1">IF(E3&lt;=0,E49*Inputs!$C$96,Inputs!$C$95*E49)</f>
        <v>3.9250000000000003</v>
      </c>
      <c r="F50" s="42">
        <f ca="1">IF(F3&lt;=0,F49*Inputs!$C$96,Inputs!$C$95*F49)</f>
        <v>0.5793299999999999</v>
      </c>
      <c r="G50" s="42">
        <f ca="1">IF(G3&lt;=0,G49*Inputs!$C$96,Inputs!$C$95*G49)</f>
        <v>1.9310999999999998</v>
      </c>
      <c r="H50" s="42">
        <f ca="1">IF(H3&lt;=0,H49*Inputs!$C$96,Inputs!$C$95*H49)</f>
        <v>0.38718554999999999</v>
      </c>
      <c r="I50" s="42">
        <f ca="1">IF(I3&lt;=0,I49*Inputs!$C$96,Inputs!$C$95*I49)</f>
        <v>0.38718554999999999</v>
      </c>
      <c r="J50" s="42">
        <f ca="1">IF(J3&lt;=0,J49*Inputs!$C$96,Inputs!$C$95*J49)</f>
        <v>1.47130509</v>
      </c>
      <c r="K50" s="42">
        <f ca="1">IF(K3&lt;=0,K49*Inputs!$C$96,Inputs!$C$95*K49)</f>
        <v>0.12506403013439998</v>
      </c>
      <c r="L50" s="42">
        <f ca="1">IF(L3&lt;=0,L49*Inputs!$C$96,Inputs!$C$95*L49)</f>
        <v>0.2143954802304</v>
      </c>
      <c r="M50" s="42">
        <f ca="1">IF(M3&lt;=0,M49*Inputs!$C$96,Inputs!$C$95*M49)</f>
        <v>0.40199152543200001</v>
      </c>
      <c r="N50" s="42">
        <f ca="1">IF(N3&lt;=0,N49*Inputs!$C$96,Inputs!$C$95*N49)</f>
        <v>0.98264595105599994</v>
      </c>
      <c r="O50" s="42">
        <f ca="1">IF(O3&lt;=0,O49*Inputs!$C$96,Inputs!$C$95*O49)</f>
        <v>2.143954802304</v>
      </c>
      <c r="P50" s="42">
        <f ca="1">IF(P3&lt;=0,P49*Inputs!$C$96,Inputs!$C$95*P49)</f>
        <v>3.1087344633407996</v>
      </c>
      <c r="Q50" s="42">
        <f ca="1">IF(Q3&lt;=0,Q49*Inputs!$C$96,Inputs!$C$95*Q49)</f>
        <v>3.7519209040319996</v>
      </c>
      <c r="R50" s="42">
        <f ca="1">IF(R3&lt;=0,R49*Inputs!$C$96,Inputs!$C$95*R49)</f>
        <v>3.7519209040319996</v>
      </c>
      <c r="S50" s="42">
        <f ca="1">IF(S3&lt;=0,S49*Inputs!$C$96,Inputs!$C$95*S49)</f>
        <v>2.6799435028799996</v>
      </c>
      <c r="T50" s="42">
        <f ca="1">IF(T3&lt;=0,T49*Inputs!$C$96,Inputs!$C$95*T49)</f>
        <v>2.143954802304</v>
      </c>
      <c r="U50" s="42">
        <f ca="1">IF(U3&lt;=0,U49*Inputs!$C$96,Inputs!$C$95*U49)</f>
        <v>0.98264595105599994</v>
      </c>
      <c r="V50" s="42">
        <f ca="1">IF(V3&lt;=0,V49*Inputs!$C$96,Inputs!$C$95*V49)</f>
        <v>0.40199152543200001</v>
      </c>
    </row>
    <row r="51" spans="2:22" ht="16.05" hidden="1" customHeight="1" outlineLevel="1">
      <c r="C51" s="36"/>
      <c r="D51" s="40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</row>
    <row r="52" spans="2:22" ht="16.05" customHeight="1" collapsed="1">
      <c r="B52" s="28" t="s">
        <v>125</v>
      </c>
      <c r="C52" s="28"/>
      <c r="D52" s="46">
        <f ca="1">D49-D50</f>
        <v>21.105</v>
      </c>
      <c r="E52" s="46">
        <f ca="1">E49-E50</f>
        <v>11.775</v>
      </c>
      <c r="F52" s="46">
        <f t="shared" ref="F52:V52" ca="1" si="14">F49-F50</f>
        <v>1.7379899999999997</v>
      </c>
      <c r="G52" s="46">
        <f t="shared" ca="1" si="14"/>
        <v>5.7932999999999995</v>
      </c>
      <c r="H52" s="46">
        <f t="shared" ca="1" si="14"/>
        <v>1.1615566500000001</v>
      </c>
      <c r="I52" s="46">
        <f t="shared" ca="1" si="14"/>
        <v>1.1615566500000001</v>
      </c>
      <c r="J52" s="46">
        <f t="shared" ca="1" si="14"/>
        <v>4.4139152700000004</v>
      </c>
      <c r="K52" s="46">
        <f t="shared" ca="1" si="14"/>
        <v>0.23226177024959999</v>
      </c>
      <c r="L52" s="46">
        <f t="shared" ca="1" si="14"/>
        <v>0.39816303471360004</v>
      </c>
      <c r="M52" s="46">
        <f t="shared" ca="1" si="14"/>
        <v>0.74655569008800005</v>
      </c>
      <c r="N52" s="46">
        <f t="shared" ca="1" si="14"/>
        <v>1.8249139091040001</v>
      </c>
      <c r="O52" s="46">
        <f t="shared" ca="1" si="14"/>
        <v>3.9816303471359999</v>
      </c>
      <c r="P52" s="46">
        <f t="shared" ca="1" si="14"/>
        <v>5.7733640033471998</v>
      </c>
      <c r="Q52" s="46">
        <f t="shared" ca="1" si="14"/>
        <v>6.9678531074880006</v>
      </c>
      <c r="R52" s="46">
        <f t="shared" ca="1" si="14"/>
        <v>6.9678531074880006</v>
      </c>
      <c r="S52" s="46">
        <f t="shared" ca="1" si="14"/>
        <v>4.9770379339199993</v>
      </c>
      <c r="T52" s="46">
        <f t="shared" ca="1" si="14"/>
        <v>3.9816303471359999</v>
      </c>
      <c r="U52" s="46">
        <f t="shared" ca="1" si="14"/>
        <v>1.8249139091040001</v>
      </c>
      <c r="V52" s="46">
        <f t="shared" ca="1" si="14"/>
        <v>0.74655569008800005</v>
      </c>
    </row>
    <row r="53" spans="2:22" ht="16.05" hidden="1" customHeight="1" outlineLevel="1">
      <c r="B53" s="21" t="s">
        <v>36</v>
      </c>
      <c r="D53" s="42">
        <f ca="1">((DATE(D12,12,31)-DATE((D12),1,1))/365)/2</f>
        <v>0.5</v>
      </c>
      <c r="E53" s="42">
        <f t="shared" ref="E53:K53" ca="1" si="15">IF(E14&lt;=0,(D53+1),0)</f>
        <v>1.5</v>
      </c>
      <c r="F53" s="42">
        <f t="shared" ca="1" si="15"/>
        <v>2.5</v>
      </c>
      <c r="G53" s="42">
        <f t="shared" ca="1" si="15"/>
        <v>3.5</v>
      </c>
      <c r="H53" s="42">
        <f t="shared" ca="1" si="15"/>
        <v>4.5</v>
      </c>
      <c r="I53" s="42">
        <f t="shared" ca="1" si="15"/>
        <v>5.5</v>
      </c>
      <c r="J53" s="42">
        <f t="shared" ca="1" si="15"/>
        <v>6.5</v>
      </c>
      <c r="K53" s="42">
        <f t="shared" ca="1" si="15"/>
        <v>7.5</v>
      </c>
      <c r="L53" s="42">
        <f t="shared" ref="L53:V53" ca="1" si="16">IF(L14&lt;=0,(K53+1),D53)</f>
        <v>8.5</v>
      </c>
      <c r="M53" s="42">
        <f t="shared" ca="1" si="16"/>
        <v>9.5</v>
      </c>
      <c r="N53" s="42">
        <f t="shared" ca="1" si="16"/>
        <v>10.5</v>
      </c>
      <c r="O53" s="42">
        <f t="shared" ca="1" si="16"/>
        <v>11.5</v>
      </c>
      <c r="P53" s="42">
        <f t="shared" ca="1" si="16"/>
        <v>12.5</v>
      </c>
      <c r="Q53" s="42">
        <f t="shared" ca="1" si="16"/>
        <v>13.5</v>
      </c>
      <c r="R53" s="42">
        <f t="shared" ca="1" si="16"/>
        <v>14.5</v>
      </c>
      <c r="S53" s="42">
        <f t="shared" ca="1" si="16"/>
        <v>15.5</v>
      </c>
      <c r="T53" s="42">
        <f t="shared" ca="1" si="16"/>
        <v>16.5</v>
      </c>
      <c r="U53" s="42">
        <f t="shared" ca="1" si="16"/>
        <v>17.5</v>
      </c>
      <c r="V53" s="42">
        <f t="shared" ca="1" si="16"/>
        <v>18.5</v>
      </c>
    </row>
    <row r="54" spans="2:22" ht="16.05" hidden="1" customHeight="1" outlineLevel="1">
      <c r="B54" s="21" t="s">
        <v>37</v>
      </c>
      <c r="D54" s="41">
        <f>WACC!$D$22</f>
        <v>0.19900000000000001</v>
      </c>
      <c r="E54" s="41">
        <f>WACC!$D$22</f>
        <v>0.19900000000000001</v>
      </c>
      <c r="F54" s="41">
        <f>WACC!$D$22</f>
        <v>0.19900000000000001</v>
      </c>
      <c r="G54" s="41">
        <f>WACC!$D$22</f>
        <v>0.19900000000000001</v>
      </c>
      <c r="H54" s="41">
        <f>WACC!$D$22</f>
        <v>0.19900000000000001</v>
      </c>
      <c r="I54" s="41">
        <f>WACC!$D$22</f>
        <v>0.19900000000000001</v>
      </c>
      <c r="J54" s="41">
        <f>WACC!$D$22</f>
        <v>0.19900000000000001</v>
      </c>
      <c r="K54" s="41">
        <f>WACC!$D$22</f>
        <v>0.19900000000000001</v>
      </c>
      <c r="L54" s="41">
        <f>WACC!$D$22</f>
        <v>0.19900000000000001</v>
      </c>
      <c r="M54" s="41">
        <f>WACC!$D$22</f>
        <v>0.19900000000000001</v>
      </c>
      <c r="N54" s="41">
        <f>WACC!$D$22</f>
        <v>0.19900000000000001</v>
      </c>
      <c r="O54" s="41">
        <f>WACC!$D$22</f>
        <v>0.19900000000000001</v>
      </c>
      <c r="P54" s="41">
        <f>WACC!$D$22</f>
        <v>0.19900000000000001</v>
      </c>
      <c r="Q54" s="41">
        <f>WACC!$D$22</f>
        <v>0.19900000000000001</v>
      </c>
      <c r="R54" s="41">
        <f>WACC!$D$22</f>
        <v>0.19900000000000001</v>
      </c>
      <c r="S54" s="41">
        <f>WACC!$D$22</f>
        <v>0.19900000000000001</v>
      </c>
      <c r="T54" s="41">
        <f>WACC!$D$22</f>
        <v>0.19900000000000001</v>
      </c>
      <c r="U54" s="41">
        <f>WACC!$D$22</f>
        <v>0.19900000000000001</v>
      </c>
      <c r="V54" s="41">
        <f>WACC!$D$22</f>
        <v>0.19900000000000001</v>
      </c>
    </row>
    <row r="55" spans="2:22" ht="16.05" hidden="1" customHeight="1" outlineLevel="1">
      <c r="B55" s="21" t="s">
        <v>116</v>
      </c>
      <c r="D55" s="102">
        <f t="shared" ref="D55" ca="1" si="17">1/(1+D54)^D53</f>
        <v>0.91325152995444614</v>
      </c>
      <c r="E55" s="102">
        <f t="shared" ref="E55" ca="1" si="18">1/(1+E54)^E53</f>
        <v>0.7616776730228908</v>
      </c>
      <c r="F55" s="102">
        <f t="shared" ref="F55" ca="1" si="19">1/(1+F54)^F53</f>
        <v>0.63526077816754867</v>
      </c>
      <c r="G55" s="102">
        <f t="shared" ref="G55" ca="1" si="20">1/(1+G54)^G53</f>
        <v>0.52982550305883958</v>
      </c>
      <c r="H55" s="102">
        <f t="shared" ref="H55" ca="1" si="21">1/(1+H54)^H53</f>
        <v>0.44188949379386111</v>
      </c>
      <c r="I55" s="102">
        <f t="shared" ref="I55" ca="1" si="22">1/(1+I54)^I53</f>
        <v>0.36854836846860811</v>
      </c>
      <c r="J55" s="102">
        <f t="shared" ref="J55" ca="1" si="23">1/(1+J54)^J53</f>
        <v>0.30737979021568651</v>
      </c>
      <c r="K55" s="102">
        <f t="shared" ref="K55" ca="1" si="24">1/(1+K54)^K53</f>
        <v>0.25636346139757005</v>
      </c>
      <c r="L55" s="102">
        <f t="shared" ref="L55" ca="1" si="25">1/(1+L54)^L53</f>
        <v>0.21381439649505421</v>
      </c>
      <c r="M55" s="102">
        <f t="shared" ref="M55" ca="1" si="26">1/(1+M54)^M53</f>
        <v>0.17832726980404853</v>
      </c>
      <c r="N55" s="102">
        <f t="shared" ref="N55" ca="1" si="27">1/(1+N54)^N53</f>
        <v>0.14872999983657093</v>
      </c>
      <c r="O55" s="102">
        <f t="shared" ref="O55" ca="1" si="28">1/(1+O54)^O53</f>
        <v>0.12404503739497154</v>
      </c>
      <c r="P55" s="102">
        <f t="shared" ref="P55" ca="1" si="29">1/(1+P54)^P53</f>
        <v>0.10345707872808306</v>
      </c>
      <c r="Q55" s="102">
        <f t="shared" ref="Q55" ca="1" si="30">1/(1+Q54)^Q53</f>
        <v>8.6286137387892439E-2</v>
      </c>
      <c r="R55" s="102">
        <f t="shared" ref="R55" ca="1" si="31">1/(1+R54)^R53</f>
        <v>7.1965085394405701E-2</v>
      </c>
      <c r="S55" s="102">
        <f t="shared" ref="S55" ca="1" si="32">1/(1+S54)^S53</f>
        <v>6.0020921930279976E-2</v>
      </c>
      <c r="T55" s="102">
        <f t="shared" ref="T55" ca="1" si="33">1/(1+T54)^T53</f>
        <v>5.0059150900984131E-2</v>
      </c>
      <c r="U55" s="102">
        <f t="shared" ref="U55" ca="1" si="34">1/(1+U54)^U53</f>
        <v>4.1750751376967578E-2</v>
      </c>
      <c r="V55" s="102">
        <f t="shared" ref="V55" ca="1" si="35">1/(1+V54)^V53</f>
        <v>3.4821310572950431E-2</v>
      </c>
    </row>
    <row r="56" spans="2:22" ht="16.05" hidden="1" customHeight="1" outlineLevel="1">
      <c r="B56" s="21" t="s">
        <v>115</v>
      </c>
      <c r="D56" s="102">
        <f ca="1">SUMPRODUCT(L55:V55,L52:V52)</f>
        <v>3.283782820400817</v>
      </c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</row>
    <row r="57" spans="2:22" ht="16.05" hidden="1" customHeight="1" outlineLevel="1">
      <c r="B57" s="21" t="s">
        <v>117</v>
      </c>
      <c r="D57" s="102">
        <f ca="1">SUMPRODUCT(D55:K55,D52:K52)</f>
        <v>34.77410437566801</v>
      </c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</row>
    <row r="58" spans="2:22" ht="16.05" hidden="1" customHeight="1" outlineLevel="1">
      <c r="B58" s="21" t="s">
        <v>118</v>
      </c>
      <c r="D58" s="102">
        <f ca="1">(V52*(1+Inputs!$C$101)/(V54-Inputs!$C$101))*V55</f>
        <v>7.8248972542146564E-2</v>
      </c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</row>
    <row r="59" spans="2:22" ht="16.05" customHeight="1" collapsed="1">
      <c r="B59" s="103" t="s">
        <v>126</v>
      </c>
      <c r="C59" s="103"/>
      <c r="D59" s="104">
        <f ca="1">SUM(D56:D58)</f>
        <v>38.136136168610975</v>
      </c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</row>
    <row r="61" spans="2:22" ht="16.05" customHeight="1">
      <c r="B61" s="103" t="s">
        <v>127</v>
      </c>
      <c r="C61" s="103"/>
      <c r="D61" s="104">
        <f ca="1">D59+D47</f>
        <v>95.515145829925871</v>
      </c>
    </row>
    <row r="62" spans="2:22" ht="16.05" customHeight="1">
      <c r="B62" s="21" t="s">
        <v>128</v>
      </c>
      <c r="D62" s="36">
        <f ca="1">D47/$D$61</f>
        <v>0.60073205314981004</v>
      </c>
    </row>
    <row r="63" spans="2:22" ht="16.05" customHeight="1">
      <c r="B63" s="21" t="s">
        <v>129</v>
      </c>
      <c r="D63" s="36">
        <f ca="1">D59/$D$61</f>
        <v>0.39926794685018985</v>
      </c>
    </row>
  </sheetData>
  <pageMargins left="0.75" right="0.75" top="1" bottom="1" header="0.5" footer="0.5"/>
  <pageSetup paperSize="9" orientation="portrait" horizontalDpi="4294967292" verticalDpi="4294967292" r:id="rId1"/>
  <customProperties>
    <customPr name="Gu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1"/>
  <sheetViews>
    <sheetView showGridLines="0" zoomScale="80" zoomScaleNormal="80" zoomScalePageLayoutView="95" workbookViewId="0"/>
  </sheetViews>
  <sheetFormatPr defaultColWidth="6.69921875" defaultRowHeight="16.05" customHeight="1"/>
  <cols>
    <col min="1" max="1" width="0.8984375" style="20" customWidth="1"/>
    <col min="2" max="2" width="34.5" style="21" bestFit="1" customWidth="1"/>
    <col min="3" max="3" width="22.09765625" style="39" bestFit="1" customWidth="1"/>
    <col min="4" max="4" width="22.09765625" style="5" bestFit="1" customWidth="1"/>
    <col min="5" max="16384" width="6.69921875" style="39"/>
  </cols>
  <sheetData>
    <row r="2" spans="2:4" ht="16.05" customHeight="1">
      <c r="B2" s="3" t="s">
        <v>114</v>
      </c>
      <c r="C2" s="4" t="s">
        <v>38</v>
      </c>
      <c r="D2" s="4" t="s">
        <v>40</v>
      </c>
    </row>
    <row r="3" spans="2:4" ht="16.05" customHeight="1">
      <c r="B3" s="12" t="s">
        <v>42</v>
      </c>
      <c r="C3" s="11"/>
      <c r="D3" s="11"/>
    </row>
    <row r="4" spans="2:4" ht="16.05" customHeight="1">
      <c r="B4" s="13" t="s">
        <v>43</v>
      </c>
      <c r="C4" s="14">
        <f>'Beta, Cost of Debt'!C13</f>
        <v>1.2824238084793991</v>
      </c>
      <c r="D4" s="14">
        <f>'Beta, Cost of Debt'!C27</f>
        <v>2.0704177609526679</v>
      </c>
    </row>
    <row r="5" spans="2:4" ht="16.05" customHeight="1">
      <c r="B5" s="6" t="s">
        <v>53</v>
      </c>
      <c r="C5" s="7">
        <f>C7/(1+C7)</f>
        <v>0.17838421691029088</v>
      </c>
      <c r="D5" s="7">
        <f>D7/(1+D7)</f>
        <v>3.9299873266496317E-2</v>
      </c>
    </row>
    <row r="6" spans="2:4" ht="16.05" customHeight="1">
      <c r="B6" s="1" t="s">
        <v>50</v>
      </c>
      <c r="C6" s="2">
        <f>1-C5</f>
        <v>0.82161578308970906</v>
      </c>
      <c r="D6" s="2">
        <f>1-D5</f>
        <v>0.96070012673350369</v>
      </c>
    </row>
    <row r="7" spans="2:4" ht="16.05" customHeight="1">
      <c r="B7" s="1" t="s">
        <v>54</v>
      </c>
      <c r="C7" s="2">
        <f>'Beta, Cost of Debt'!C11</f>
        <v>0.21711391210070485</v>
      </c>
      <c r="D7" s="2">
        <f>'Beta, Cost of Debt'!C25</f>
        <v>4.0907534175227633E-2</v>
      </c>
    </row>
    <row r="8" spans="2:4" ht="16.05" customHeight="1">
      <c r="B8" s="1" t="s">
        <v>44</v>
      </c>
      <c r="C8" s="2">
        <f>Inputs!C95</f>
        <v>0.35</v>
      </c>
      <c r="D8" s="2">
        <f>Inputs!C95</f>
        <v>0.35</v>
      </c>
    </row>
    <row r="9" spans="2:4" ht="16.05" customHeight="1">
      <c r="B9" s="9" t="s">
        <v>45</v>
      </c>
      <c r="C9" s="18">
        <f>C4*(1+(1-C8)*C7)</f>
        <v>1.4634046409989299</v>
      </c>
      <c r="D9" s="18">
        <f>D4*(1+(1-D8)*D7)</f>
        <v>2.1254699564062283</v>
      </c>
    </row>
    <row r="10" spans="2:4" ht="16.05" customHeight="1">
      <c r="B10" s="1"/>
      <c r="C10" s="8"/>
      <c r="D10" s="8"/>
    </row>
    <row r="11" spans="2:4" ht="16.05" customHeight="1">
      <c r="B11" s="17" t="s">
        <v>46</v>
      </c>
      <c r="C11" s="14"/>
      <c r="D11" s="14"/>
    </row>
    <row r="12" spans="2:4" ht="16.05" customHeight="1">
      <c r="B12" s="1" t="s">
        <v>56</v>
      </c>
      <c r="C12" s="2">
        <v>2.7900000000000001E-2</v>
      </c>
      <c r="D12" s="2">
        <v>2.7900000000000001E-2</v>
      </c>
    </row>
    <row r="13" spans="2:4" ht="16.05" customHeight="1">
      <c r="B13" s="1" t="s">
        <v>55</v>
      </c>
      <c r="C13" s="2">
        <v>0.06</v>
      </c>
      <c r="D13" s="2">
        <v>0.06</v>
      </c>
    </row>
    <row r="14" spans="2:4" ht="16.05" customHeight="1">
      <c r="B14" s="6" t="s">
        <v>41</v>
      </c>
      <c r="C14" s="7">
        <f>IF((C28*Inputs!C99+WACC!C29)&lt;0,0,C28*Inputs!C99+WACC!C29)</f>
        <v>0</v>
      </c>
      <c r="D14" s="7">
        <f>IF((C28*Inputs!C98+WACC!C29)&lt;0,0,C28*Inputs!C98+WACC!C29)</f>
        <v>0.05</v>
      </c>
    </row>
    <row r="15" spans="2:4" ht="16.05" customHeight="1">
      <c r="B15" s="15" t="s">
        <v>47</v>
      </c>
      <c r="C15" s="16">
        <f>C12+C9*C13+C14</f>
        <v>0.11570427845993578</v>
      </c>
      <c r="D15" s="16">
        <f>D12+D9*D13+D14</f>
        <v>0.20542819738437368</v>
      </c>
    </row>
    <row r="16" spans="2:4" ht="16.05" customHeight="1">
      <c r="B16" s="1"/>
      <c r="C16" s="8"/>
      <c r="D16" s="8"/>
    </row>
    <row r="17" spans="2:5" ht="16.05" customHeight="1">
      <c r="B17" s="17" t="s">
        <v>39</v>
      </c>
      <c r="C17" s="11"/>
      <c r="D17" s="11"/>
    </row>
    <row r="18" spans="2:5" ht="16.05" customHeight="1">
      <c r="B18" s="1" t="s">
        <v>52</v>
      </c>
      <c r="C18" s="2">
        <f t="shared" ref="C18:D18" si="0">C15</f>
        <v>0.11570427845993578</v>
      </c>
      <c r="D18" s="2">
        <f t="shared" si="0"/>
        <v>0.20542819738437368</v>
      </c>
    </row>
    <row r="19" spans="2:5" ht="16.05" customHeight="1">
      <c r="B19" s="6" t="s">
        <v>48</v>
      </c>
      <c r="C19" s="7">
        <f>'Beta, Cost of Debt'!M8</f>
        <v>6.350663599488493E-2</v>
      </c>
      <c r="D19" s="7">
        <f>'Beta, Cost of Debt'!M8</f>
        <v>6.350663599488493E-2</v>
      </c>
    </row>
    <row r="20" spans="2:5" ht="16.05" customHeight="1">
      <c r="B20" s="1" t="s">
        <v>49</v>
      </c>
      <c r="C20" s="2">
        <f>C19*(1-C8)</f>
        <v>4.1279313396675205E-2</v>
      </c>
      <c r="D20" s="2">
        <f>D19*(1-D8)</f>
        <v>4.1279313396675205E-2</v>
      </c>
    </row>
    <row r="21" spans="2:5" ht="16.05" customHeight="1">
      <c r="B21" s="1" t="s">
        <v>51</v>
      </c>
      <c r="C21" s="2">
        <f>1-C6</f>
        <v>0.17838421691029094</v>
      </c>
      <c r="D21" s="2">
        <f>1-D6</f>
        <v>3.929987326649631E-2</v>
      </c>
    </row>
    <row r="22" spans="2:5" ht="16.05" customHeight="1">
      <c r="B22" s="75" t="s">
        <v>37</v>
      </c>
      <c r="C22" s="76">
        <f>ROUND(C18*C6+C21*C20,3)</f>
        <v>0.10199999999999999</v>
      </c>
      <c r="D22" s="76">
        <f>ROUND(D18*D6+D21*D20,3)</f>
        <v>0.19900000000000001</v>
      </c>
    </row>
    <row r="24" spans="2:5" ht="16.05" customHeight="1">
      <c r="B24" s="3" t="s">
        <v>64</v>
      </c>
      <c r="C24" s="3" t="s">
        <v>61</v>
      </c>
      <c r="D24" s="3" t="s">
        <v>60</v>
      </c>
    </row>
    <row r="25" spans="2:5" ht="16.05" customHeight="1">
      <c r="B25" s="13"/>
      <c r="C25" s="47">
        <v>200</v>
      </c>
      <c r="D25" s="48">
        <v>0.03</v>
      </c>
    </row>
    <row r="26" spans="2:5" ht="16.05" customHeight="1">
      <c r="B26" s="39"/>
      <c r="C26" s="49">
        <v>150</v>
      </c>
      <c r="D26" s="48">
        <v>0.05</v>
      </c>
    </row>
    <row r="27" spans="2:5" ht="16.05" customHeight="1">
      <c r="B27" s="39"/>
      <c r="C27" s="49">
        <v>100</v>
      </c>
      <c r="D27" s="48">
        <v>7.0000000000000007E-2</v>
      </c>
    </row>
    <row r="28" spans="2:5" ht="16.05" customHeight="1">
      <c r="B28" s="41" t="s">
        <v>62</v>
      </c>
      <c r="C28" s="39">
        <f>(D27-D25)/(C27-C25)</f>
        <v>-4.0000000000000007E-4</v>
      </c>
      <c r="D28" s="41"/>
    </row>
    <row r="29" spans="2:5" ht="16.05" customHeight="1">
      <c r="B29" s="21" t="s">
        <v>63</v>
      </c>
      <c r="C29" s="50">
        <f>(D27)-C27*C28</f>
        <v>0.11000000000000001</v>
      </c>
    </row>
    <row r="30" spans="2:5" ht="16.05" customHeight="1">
      <c r="E30" s="51"/>
    </row>
    <row r="31" spans="2:5" ht="16.05" customHeight="1">
      <c r="E31" s="52"/>
    </row>
  </sheetData>
  <pageMargins left="0.75" right="0.75" top="1" bottom="1" header="0.5" footer="0.5"/>
  <pageSetup paperSize="9" orientation="portrait" horizontalDpi="4294967292" verticalDpi="4294967292" r:id="rId1"/>
  <customProperties>
    <customPr name="Gu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56"/>
  <sheetViews>
    <sheetView showGridLines="0" zoomScale="80" zoomScaleNormal="80" zoomScalePageLayoutView="95" workbookViewId="0"/>
  </sheetViews>
  <sheetFormatPr defaultColWidth="6.69921875" defaultRowHeight="16.05" customHeight="1"/>
  <cols>
    <col min="1" max="1" width="0.8984375" style="19" customWidth="1"/>
    <col min="2" max="2" width="20.59765625" style="53" bestFit="1" customWidth="1"/>
    <col min="3" max="3" width="13.8984375" style="53" customWidth="1"/>
    <col min="4" max="6" width="12.09765625" style="53" customWidth="1"/>
    <col min="7" max="7" width="13.09765625" style="53" customWidth="1"/>
    <col min="8" max="8" width="13.8984375" style="53" customWidth="1"/>
    <col min="9" max="9" width="16.8984375" style="53" bestFit="1" customWidth="1"/>
    <col min="10" max="10" width="15.19921875" style="53" bestFit="1" customWidth="1"/>
    <col min="11" max="11" width="13.3984375" style="53" customWidth="1"/>
    <col min="12" max="12" width="18.5" style="53" bestFit="1" customWidth="1"/>
    <col min="13" max="13" width="11.19921875" style="89" customWidth="1"/>
    <col min="14" max="19" width="6.69921875" style="53" customWidth="1"/>
    <col min="20" max="20" width="10.59765625" style="53" bestFit="1" customWidth="1"/>
    <col min="21" max="16384" width="6.69921875" style="53"/>
  </cols>
  <sheetData>
    <row r="2" spans="1:19" ht="16.05" customHeight="1">
      <c r="B2" s="109" t="s">
        <v>80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10"/>
    </row>
    <row r="3" spans="1:19" s="66" customFormat="1" ht="36">
      <c r="B3" s="99" t="s">
        <v>113</v>
      </c>
      <c r="C3" s="100" t="s">
        <v>76</v>
      </c>
      <c r="D3" s="100" t="s">
        <v>77</v>
      </c>
      <c r="E3" s="100" t="s">
        <v>86</v>
      </c>
      <c r="F3" s="100" t="s">
        <v>111</v>
      </c>
      <c r="G3" s="100" t="s">
        <v>87</v>
      </c>
      <c r="H3" s="100" t="s">
        <v>78</v>
      </c>
      <c r="I3" s="100" t="s">
        <v>67</v>
      </c>
      <c r="J3" s="100" t="s">
        <v>68</v>
      </c>
      <c r="K3" s="100" t="s">
        <v>69</v>
      </c>
      <c r="L3" s="100" t="s">
        <v>70</v>
      </c>
      <c r="M3" s="101" t="s">
        <v>112</v>
      </c>
    </row>
    <row r="4" spans="1:19" s="54" customFormat="1" ht="16.05" customHeight="1">
      <c r="A4" s="19"/>
      <c r="B4" s="53" t="s">
        <v>57</v>
      </c>
      <c r="C4" s="64">
        <f>4403+30193</f>
        <v>34596</v>
      </c>
      <c r="D4" s="64">
        <v>128961</v>
      </c>
      <c r="E4" s="64">
        <v>8470</v>
      </c>
      <c r="F4" s="64">
        <v>1095</v>
      </c>
      <c r="G4" s="98">
        <f t="shared" ref="G4:G7" si="0">IF(OR(E4&lt;=0,F4&lt;=0),"N/A",E4/F4)</f>
        <v>7.7351598173515983</v>
      </c>
      <c r="H4" s="64">
        <f t="shared" ref="H4:H7" si="1">C4+D4</f>
        <v>163557</v>
      </c>
      <c r="I4" s="57">
        <f>C4/H4</f>
        <v>0.21152258845540087</v>
      </c>
      <c r="J4" s="57">
        <f>Inputs!$C$95</f>
        <v>0.35</v>
      </c>
      <c r="K4" s="65">
        <v>1.1499999999999999</v>
      </c>
      <c r="L4" s="65">
        <f>K4/(1+(1-J4)*(I4/(1-I4)))</f>
        <v>0.97924540635622426</v>
      </c>
      <c r="M4" s="94">
        <f>(750*2.1225%+500*2.7%+1000*3.125%+1250*4.4%)/(750+500+1000+1250)</f>
        <v>3.3048214285714292E-2</v>
      </c>
    </row>
    <row r="5" spans="1:19" ht="16.05" customHeight="1">
      <c r="B5" s="53" t="s">
        <v>58</v>
      </c>
      <c r="C5" s="64">
        <v>6513</v>
      </c>
      <c r="D5" s="64">
        <v>61657</v>
      </c>
      <c r="E5" s="64">
        <v>4891</v>
      </c>
      <c r="F5" s="64">
        <v>277.60000000000002</v>
      </c>
      <c r="G5" s="87">
        <f t="shared" si="0"/>
        <v>17.618876080691642</v>
      </c>
      <c r="H5" s="64">
        <f t="shared" si="1"/>
        <v>68170</v>
      </c>
      <c r="I5" s="57">
        <f>C5/H5</f>
        <v>9.5540560363796392E-2</v>
      </c>
      <c r="J5" s="57">
        <f>Inputs!$C$95</f>
        <v>0.35</v>
      </c>
      <c r="K5" s="65">
        <v>0.71</v>
      </c>
      <c r="L5" s="65">
        <f>K5/(1+(1-J5)*(I5/(1-I5)))</f>
        <v>0.6643826229749531</v>
      </c>
      <c r="M5" s="94">
        <f>(6.875%*602.6+2.9%*1497.5+3.625%*1014.2+4.05%*1764.6+5.2%*1757.6)/(602.6+1497.5+1014.2+1764.6+1757.6)</f>
        <v>4.2866345212084683E-2</v>
      </c>
      <c r="O5" s="55"/>
      <c r="P5" s="55"/>
      <c r="Q5" s="55"/>
      <c r="R5" s="55"/>
      <c r="S5" s="55"/>
    </row>
    <row r="6" spans="1:19" ht="16.05" customHeight="1">
      <c r="B6" s="53" t="s">
        <v>59</v>
      </c>
      <c r="C6" s="64">
        <f>13788+501</f>
        <v>14289</v>
      </c>
      <c r="D6" s="64">
        <v>91031</v>
      </c>
      <c r="E6" s="64">
        <v>2254.6</v>
      </c>
      <c r="F6" s="64">
        <v>310.60000000000002</v>
      </c>
      <c r="G6" s="87">
        <f t="shared" si="0"/>
        <v>7.2588538312942683</v>
      </c>
      <c r="H6" s="64">
        <f t="shared" si="1"/>
        <v>105320</v>
      </c>
      <c r="I6" s="57">
        <f>C6/H6</f>
        <v>0.1356722369920243</v>
      </c>
      <c r="J6" s="57">
        <f>Inputs!$C$95</f>
        <v>0.35</v>
      </c>
      <c r="K6" s="65">
        <v>1.74</v>
      </c>
      <c r="L6" s="65">
        <f>K6/(1+(1-J6)*(I6/(1-I6)))</f>
        <v>1.5789050612123243</v>
      </c>
      <c r="M6" s="94">
        <f>(300*1.9%+200*2.3%+500*2.25%+500*3.95%+1000*3.25%+700*4%+100*3.625%+250*3.875%)/(300+200+500+500+1000+700+100+250)</f>
        <v>3.242605633802817E-2</v>
      </c>
      <c r="O6" s="55"/>
      <c r="P6" s="55"/>
      <c r="Q6" s="55"/>
      <c r="R6" s="55"/>
      <c r="S6" s="55"/>
    </row>
    <row r="7" spans="1:19" s="54" customFormat="1" ht="16.05" customHeight="1">
      <c r="A7" s="19"/>
      <c r="B7" s="53" t="s">
        <v>79</v>
      </c>
      <c r="C7" s="64">
        <f>36440+377+25</f>
        <v>36842</v>
      </c>
      <c r="D7" s="64">
        <v>99206</v>
      </c>
      <c r="E7" s="64">
        <v>7537</v>
      </c>
      <c r="F7" s="64">
        <v>686</v>
      </c>
      <c r="G7" s="87">
        <f t="shared" si="0"/>
        <v>10.986880466472304</v>
      </c>
      <c r="H7" s="64">
        <f t="shared" si="1"/>
        <v>136048</v>
      </c>
      <c r="I7" s="57">
        <f>C7/H7</f>
        <v>0.27080148182994235</v>
      </c>
      <c r="J7" s="57">
        <f>Inputs!$C$95</f>
        <v>0.35</v>
      </c>
      <c r="K7" s="65">
        <v>1.58</v>
      </c>
      <c r="L7" s="65">
        <f>K7/(1+(1-J7)*(I7/(1-I7)))</f>
        <v>1.2727671934085405</v>
      </c>
      <c r="M7" s="94">
        <f>(3000*1.92%+3750*2.65%+1000*3.28%+3750*3.66%+2500*4.58%+2700*4.73%)/(3000+3750+1000+3750+2500+2700)</f>
        <v>3.4085928143712578E-2</v>
      </c>
    </row>
    <row r="8" spans="1:19" ht="16.05" customHeight="1">
      <c r="B8" s="70" t="s">
        <v>71</v>
      </c>
      <c r="C8" s="70"/>
      <c r="D8" s="70"/>
      <c r="E8" s="70"/>
      <c r="F8" s="70"/>
      <c r="G8" s="70"/>
      <c r="H8" s="70"/>
      <c r="I8" s="71">
        <f>AVERAGE($I$4:$I$7)</f>
        <v>0.17838421691029099</v>
      </c>
      <c r="J8" s="70"/>
      <c r="K8" s="70"/>
      <c r="L8" s="72">
        <f>AVERAGE($L$4:$L$7)</f>
        <v>1.1238250709880107</v>
      </c>
      <c r="M8" s="96">
        <f>AVERAGE(M4:M7)+WACC!C12</f>
        <v>6.350663599488493E-2</v>
      </c>
      <c r="O8" s="55"/>
      <c r="P8" s="55"/>
      <c r="Q8" s="55"/>
      <c r="R8" s="55"/>
      <c r="S8" s="55"/>
    </row>
    <row r="9" spans="1:19" ht="15.6" customHeight="1">
      <c r="G9" s="59"/>
      <c r="M9" s="90"/>
      <c r="N9" s="55"/>
      <c r="O9" s="55"/>
      <c r="P9" s="55"/>
      <c r="Q9" s="55"/>
      <c r="R9" s="55"/>
      <c r="S9" s="55"/>
    </row>
    <row r="10" spans="1:19" ht="16.05" customHeight="1">
      <c r="B10" s="53" t="s">
        <v>72</v>
      </c>
      <c r="C10" s="65">
        <f>L8</f>
        <v>1.1238250709880107</v>
      </c>
      <c r="G10" s="59"/>
      <c r="M10" s="90"/>
      <c r="N10" s="55"/>
      <c r="O10" s="55"/>
      <c r="P10" s="55"/>
      <c r="Q10" s="55"/>
      <c r="R10" s="55"/>
      <c r="S10" s="55"/>
    </row>
    <row r="11" spans="1:19" s="54" customFormat="1" ht="16.05" customHeight="1">
      <c r="A11" s="19"/>
      <c r="B11" s="53" t="s">
        <v>73</v>
      </c>
      <c r="C11" s="57">
        <f>1/(1-I8)-1</f>
        <v>0.21711391210070485</v>
      </c>
      <c r="D11" s="53"/>
      <c r="E11" s="53"/>
      <c r="F11" s="53"/>
      <c r="G11" s="59"/>
      <c r="H11" s="53"/>
      <c r="I11" s="53"/>
      <c r="J11" s="53"/>
      <c r="K11" s="53"/>
      <c r="L11" s="53"/>
      <c r="M11" s="90"/>
      <c r="N11" s="56"/>
      <c r="O11" s="56"/>
      <c r="P11" s="56"/>
      <c r="Q11" s="56"/>
      <c r="R11" s="56"/>
      <c r="S11" s="56"/>
    </row>
    <row r="12" spans="1:19" ht="16.05" customHeight="1">
      <c r="B12" s="53" t="s">
        <v>74</v>
      </c>
      <c r="C12" s="57">
        <f>Inputs!C95</f>
        <v>0.35</v>
      </c>
      <c r="G12" s="59"/>
      <c r="M12" s="90"/>
      <c r="N12" s="55"/>
      <c r="O12" s="55"/>
      <c r="P12" s="55"/>
      <c r="Q12" s="55"/>
      <c r="R12" s="55"/>
      <c r="S12" s="55"/>
    </row>
    <row r="13" spans="1:19" ht="16.05" customHeight="1">
      <c r="B13" s="73" t="s">
        <v>75</v>
      </c>
      <c r="C13" s="74">
        <f>C10*(1+(1-C12)*C11)</f>
        <v>1.2824238084793991</v>
      </c>
      <c r="G13" s="88"/>
      <c r="M13" s="90"/>
      <c r="N13" s="55"/>
      <c r="O13" s="55"/>
      <c r="P13" s="55"/>
      <c r="Q13" s="55"/>
      <c r="R13" s="55"/>
      <c r="S13" s="55"/>
    </row>
    <row r="14" spans="1:19" ht="16.05" customHeight="1">
      <c r="B14" s="57"/>
      <c r="C14" s="55"/>
      <c r="D14" s="55"/>
      <c r="E14" s="55"/>
      <c r="F14" s="55"/>
      <c r="G14" s="58"/>
      <c r="I14" s="55"/>
      <c r="J14" s="55"/>
      <c r="K14" s="55"/>
      <c r="L14" s="55"/>
      <c r="M14" s="90"/>
      <c r="N14" s="55"/>
      <c r="O14" s="55"/>
      <c r="P14" s="55"/>
      <c r="Q14" s="55"/>
      <c r="R14" s="55"/>
      <c r="S14" s="55"/>
    </row>
    <row r="15" spans="1:19" ht="16.05" customHeight="1"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90"/>
      <c r="N15" s="55"/>
      <c r="O15" s="55"/>
      <c r="P15" s="55"/>
      <c r="Q15" s="55"/>
      <c r="R15" s="55"/>
      <c r="S15" s="55"/>
    </row>
    <row r="16" spans="1:19" ht="16.05" customHeight="1">
      <c r="B16" s="109" t="s">
        <v>81</v>
      </c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90"/>
      <c r="N16" s="55"/>
      <c r="O16" s="55"/>
      <c r="P16" s="55"/>
      <c r="Q16" s="55"/>
      <c r="R16" s="55"/>
      <c r="S16" s="55"/>
    </row>
    <row r="17" spans="1:19" ht="36">
      <c r="B17" s="67" t="s">
        <v>113</v>
      </c>
      <c r="C17" s="68" t="s">
        <v>76</v>
      </c>
      <c r="D17" s="68" t="s">
        <v>77</v>
      </c>
      <c r="E17" s="68" t="s">
        <v>86</v>
      </c>
      <c r="F17" s="68" t="s">
        <v>111</v>
      </c>
      <c r="G17" s="68" t="s">
        <v>87</v>
      </c>
      <c r="H17" s="68" t="s">
        <v>78</v>
      </c>
      <c r="I17" s="68" t="s">
        <v>67</v>
      </c>
      <c r="J17" s="68" t="s">
        <v>68</v>
      </c>
      <c r="K17" s="68" t="s">
        <v>69</v>
      </c>
      <c r="L17" s="69" t="s">
        <v>70</v>
      </c>
      <c r="M17" s="90"/>
    </row>
    <row r="18" spans="1:19" s="54" customFormat="1" ht="16.05" customHeight="1">
      <c r="A18" s="19"/>
      <c r="B18" s="53" t="s">
        <v>82</v>
      </c>
      <c r="C18" s="64">
        <v>0</v>
      </c>
      <c r="D18" s="64">
        <v>2037.54</v>
      </c>
      <c r="E18" s="64">
        <v>-118.7</v>
      </c>
      <c r="F18" s="64">
        <v>0</v>
      </c>
      <c r="G18" s="97" t="str">
        <f>IF(OR(E18&lt;=0,F18&lt;=0),"N/A",E18/F18)</f>
        <v>N/A</v>
      </c>
      <c r="H18" s="64">
        <f t="shared" ref="H18:H21" si="2">C18+D18</f>
        <v>2037.54</v>
      </c>
      <c r="I18" s="57">
        <f>C18/H18</f>
        <v>0</v>
      </c>
      <c r="J18" s="57">
        <v>0.35</v>
      </c>
      <c r="K18" s="65">
        <v>1.96</v>
      </c>
      <c r="L18" s="65">
        <f>K18/(1+(1-J18)*(I18/(1-I18)))</f>
        <v>1.96</v>
      </c>
      <c r="M18" s="90"/>
    </row>
    <row r="19" spans="1:19" ht="16.05" customHeight="1">
      <c r="B19" s="53" t="s">
        <v>83</v>
      </c>
      <c r="C19" s="64">
        <v>113.66</v>
      </c>
      <c r="D19" s="64">
        <v>1819</v>
      </c>
      <c r="E19" s="64">
        <v>-82</v>
      </c>
      <c r="F19" s="64">
        <v>11</v>
      </c>
      <c r="G19" s="97" t="str">
        <f>IF(OR(E19&lt;=0,F19&lt;=0),"N/A",E19/F19)</f>
        <v>N/A</v>
      </c>
      <c r="H19" s="64">
        <f t="shared" si="2"/>
        <v>1932.66</v>
      </c>
      <c r="I19" s="57">
        <f>C19/H19</f>
        <v>5.8810137323688588E-2</v>
      </c>
      <c r="J19" s="57">
        <v>0.35</v>
      </c>
      <c r="K19" s="65">
        <v>2.11</v>
      </c>
      <c r="L19" s="65">
        <f>K19/(1+(1-J19)*(I19/(1-I19)))</f>
        <v>2.0276467750976157</v>
      </c>
      <c r="M19" s="90"/>
      <c r="N19" s="58"/>
      <c r="O19" s="58"/>
      <c r="P19" s="58"/>
      <c r="Q19" s="58"/>
      <c r="R19" s="58"/>
      <c r="S19" s="58"/>
    </row>
    <row r="20" spans="1:19" ht="16.05" customHeight="1">
      <c r="B20" s="53" t="s">
        <v>84</v>
      </c>
      <c r="C20" s="64">
        <v>281</v>
      </c>
      <c r="D20" s="64">
        <v>2575</v>
      </c>
      <c r="E20" s="64">
        <v>-376</v>
      </c>
      <c r="F20" s="64">
        <v>8.4</v>
      </c>
      <c r="G20" s="97" t="str">
        <f>IF(OR(E20&lt;=0,F20&lt;=0),"N/A",E20/F20)</f>
        <v>N/A</v>
      </c>
      <c r="H20" s="64">
        <f t="shared" si="2"/>
        <v>2856</v>
      </c>
      <c r="I20" s="57">
        <f>C20/H20</f>
        <v>9.8389355742296916E-2</v>
      </c>
      <c r="J20" s="57">
        <v>0.35</v>
      </c>
      <c r="K20" s="65">
        <v>1.97</v>
      </c>
      <c r="L20" s="65">
        <f>K20/(1+(1-J20)*(I20/(1-I20)))</f>
        <v>1.839519155802948</v>
      </c>
      <c r="M20" s="90"/>
      <c r="N20" s="58"/>
      <c r="O20" s="58"/>
      <c r="P20" s="58"/>
      <c r="Q20" s="58"/>
      <c r="R20" s="58"/>
      <c r="S20" s="58"/>
    </row>
    <row r="21" spans="1:19" ht="16.05" customHeight="1">
      <c r="B21" s="53" t="s">
        <v>85</v>
      </c>
      <c r="C21" s="64">
        <v>0</v>
      </c>
      <c r="D21" s="64">
        <v>732</v>
      </c>
      <c r="E21" s="64">
        <v>-132.5</v>
      </c>
      <c r="F21" s="64">
        <v>0</v>
      </c>
      <c r="G21" s="97" t="str">
        <f>IF(OR(E21&lt;=0,F21&lt;=0),"N/A",E21/F21)</f>
        <v>N/A</v>
      </c>
      <c r="H21" s="64">
        <f t="shared" si="2"/>
        <v>732</v>
      </c>
      <c r="I21" s="57">
        <f>C21/H21</f>
        <v>0</v>
      </c>
      <c r="J21" s="57">
        <v>0.35</v>
      </c>
      <c r="K21" s="65">
        <v>2.2400000000000002</v>
      </c>
      <c r="L21" s="65">
        <f>K21/(1+(1-J21)*(I21/(1-I21)))</f>
        <v>2.2400000000000002</v>
      </c>
      <c r="M21" s="90"/>
    </row>
    <row r="22" spans="1:19" ht="16.05" customHeight="1">
      <c r="B22" s="70" t="s">
        <v>71</v>
      </c>
      <c r="C22" s="70"/>
      <c r="D22" s="70"/>
      <c r="E22" s="70"/>
      <c r="F22" s="70"/>
      <c r="G22" s="70"/>
      <c r="H22" s="70"/>
      <c r="I22" s="71">
        <f>AVERAGE($I$18:$I$21)</f>
        <v>3.929987326649638E-2</v>
      </c>
      <c r="J22" s="70"/>
      <c r="K22" s="70"/>
      <c r="L22" s="72">
        <f>AVERAGE($L$18:$L$21)</f>
        <v>2.0167914827251412</v>
      </c>
      <c r="M22" s="90"/>
      <c r="N22" s="59"/>
      <c r="O22" s="59"/>
      <c r="P22" s="59"/>
      <c r="Q22" s="59"/>
      <c r="R22" s="59"/>
      <c r="S22" s="59"/>
    </row>
    <row r="23" spans="1:19" ht="16.05" customHeight="1">
      <c r="M23" s="90"/>
    </row>
    <row r="24" spans="1:19" s="54" customFormat="1" ht="16.05" customHeight="1">
      <c r="A24" s="19"/>
      <c r="B24" s="53" t="s">
        <v>72</v>
      </c>
      <c r="C24" s="65">
        <f>L22</f>
        <v>2.0167914827251412</v>
      </c>
      <c r="D24" s="53"/>
      <c r="E24" s="53"/>
      <c r="F24" s="53"/>
      <c r="G24" s="53"/>
      <c r="H24" s="53"/>
      <c r="I24" s="53"/>
      <c r="J24" s="53"/>
      <c r="K24" s="53"/>
      <c r="L24" s="53"/>
      <c r="M24" s="90"/>
    </row>
    <row r="25" spans="1:19" ht="16.05" customHeight="1">
      <c r="B25" s="53" t="s">
        <v>73</v>
      </c>
      <c r="C25" s="57">
        <f>1/(1-I22)-1</f>
        <v>4.0907534175227633E-2</v>
      </c>
      <c r="M25" s="90"/>
      <c r="N25" s="61"/>
      <c r="O25" s="61"/>
      <c r="P25" s="61"/>
      <c r="Q25" s="61"/>
      <c r="R25" s="61"/>
      <c r="S25" s="61"/>
    </row>
    <row r="26" spans="1:19" ht="16.05" customHeight="1">
      <c r="B26" s="53" t="s">
        <v>74</v>
      </c>
      <c r="C26" s="57">
        <f>Inputs!C95</f>
        <v>0.35</v>
      </c>
      <c r="M26" s="90"/>
    </row>
    <row r="27" spans="1:19" ht="16.05" customHeight="1">
      <c r="B27" s="73" t="s">
        <v>75</v>
      </c>
      <c r="C27" s="74">
        <f>C24*(1+(1-C26)*C25)</f>
        <v>2.0704177609526679</v>
      </c>
      <c r="M27" s="91"/>
      <c r="N27" s="60"/>
      <c r="O27" s="60"/>
      <c r="P27" s="60"/>
      <c r="Q27" s="60"/>
      <c r="R27" s="60"/>
      <c r="S27" s="60"/>
    </row>
    <row r="28" spans="1:19" ht="16.05" customHeight="1"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92"/>
      <c r="N28" s="62"/>
      <c r="O28" s="62"/>
      <c r="P28" s="62"/>
      <c r="Q28" s="62"/>
      <c r="R28" s="62"/>
      <c r="S28" s="62"/>
    </row>
    <row r="29" spans="1:19" ht="16.05" customHeight="1"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92"/>
      <c r="N29" s="62"/>
      <c r="O29" s="62"/>
      <c r="P29" s="62"/>
      <c r="Q29" s="62"/>
      <c r="R29" s="62"/>
      <c r="S29" s="62"/>
    </row>
    <row r="30" spans="1:19" ht="16.05" customHeight="1"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92"/>
      <c r="N30" s="62"/>
      <c r="O30" s="62"/>
      <c r="P30" s="62"/>
      <c r="Q30" s="62"/>
      <c r="R30" s="62"/>
      <c r="S30" s="62"/>
    </row>
    <row r="31" spans="1:19" ht="11.4">
      <c r="F31" s="62"/>
      <c r="G31" s="62"/>
      <c r="H31" s="62"/>
      <c r="I31" s="62"/>
      <c r="J31" s="62"/>
      <c r="K31" s="62"/>
      <c r="L31" s="62"/>
      <c r="M31" s="92"/>
      <c r="N31" s="62"/>
      <c r="O31" s="62"/>
      <c r="P31" s="62"/>
      <c r="Q31" s="62"/>
      <c r="R31" s="62"/>
      <c r="S31" s="62"/>
    </row>
    <row r="32" spans="1:19" ht="16.05" customHeight="1">
      <c r="F32" s="62"/>
      <c r="G32" s="62"/>
      <c r="H32" s="62"/>
      <c r="I32" s="62"/>
      <c r="J32" s="62"/>
      <c r="K32" s="62"/>
      <c r="L32" s="62"/>
      <c r="M32" s="92"/>
      <c r="N32" s="62"/>
      <c r="O32" s="62"/>
      <c r="P32" s="62"/>
      <c r="Q32" s="62"/>
      <c r="R32" s="62"/>
      <c r="S32" s="62"/>
    </row>
    <row r="33" spans="2:19" ht="16.05" customHeight="1">
      <c r="F33" s="62"/>
      <c r="G33" s="62"/>
      <c r="H33" s="62"/>
      <c r="I33" s="62"/>
      <c r="J33" s="62"/>
      <c r="K33" s="62"/>
      <c r="L33" s="62"/>
      <c r="M33" s="92"/>
      <c r="N33" s="62"/>
      <c r="O33" s="62"/>
      <c r="P33" s="62"/>
      <c r="Q33" s="62"/>
      <c r="R33" s="62"/>
      <c r="S33" s="62"/>
    </row>
    <row r="34" spans="2:19" ht="16.05" customHeight="1">
      <c r="F34" s="62"/>
      <c r="G34" s="62"/>
      <c r="H34" s="62"/>
      <c r="I34" s="62"/>
      <c r="J34" s="62"/>
      <c r="K34" s="62"/>
      <c r="L34" s="62"/>
      <c r="M34" s="92"/>
      <c r="N34" s="62"/>
      <c r="O34" s="62"/>
      <c r="P34" s="62"/>
      <c r="Q34" s="62"/>
      <c r="R34" s="62"/>
      <c r="S34" s="62"/>
    </row>
    <row r="35" spans="2:19" ht="16.05" customHeight="1">
      <c r="F35" s="62"/>
      <c r="G35" s="62"/>
      <c r="H35" s="62"/>
      <c r="I35" s="62"/>
      <c r="J35" s="62"/>
      <c r="K35" s="62"/>
      <c r="L35" s="62"/>
      <c r="M35" s="92"/>
      <c r="N35" s="62"/>
      <c r="O35" s="62"/>
      <c r="P35" s="62"/>
      <c r="Q35" s="62"/>
      <c r="R35" s="62"/>
      <c r="S35" s="62"/>
    </row>
    <row r="36" spans="2:19" ht="16.05" customHeight="1">
      <c r="F36" s="62"/>
      <c r="G36" s="62"/>
      <c r="H36" s="62"/>
      <c r="I36" s="62"/>
      <c r="J36" s="62"/>
      <c r="K36" s="62"/>
      <c r="L36" s="62"/>
      <c r="M36" s="92"/>
      <c r="N36" s="62"/>
      <c r="O36" s="62"/>
      <c r="P36" s="62"/>
      <c r="Q36" s="62"/>
      <c r="R36" s="62"/>
      <c r="S36" s="62"/>
    </row>
    <row r="37" spans="2:19" ht="16.05" customHeight="1"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92"/>
      <c r="N37" s="62"/>
      <c r="O37" s="62"/>
      <c r="P37" s="62"/>
      <c r="Q37" s="62"/>
      <c r="R37" s="62"/>
      <c r="S37" s="62"/>
    </row>
    <row r="38" spans="2:19" ht="16.05" customHeight="1"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92"/>
      <c r="N38" s="62"/>
      <c r="O38" s="62"/>
      <c r="P38" s="62"/>
      <c r="Q38" s="62"/>
      <c r="R38" s="62"/>
      <c r="S38" s="62"/>
    </row>
    <row r="39" spans="2:19" ht="16.05" customHeight="1">
      <c r="B39" s="77" t="s">
        <v>88</v>
      </c>
      <c r="C39" s="78"/>
      <c r="D39" s="78"/>
      <c r="E39" s="78"/>
      <c r="F39"/>
      <c r="G39" s="77" t="s">
        <v>109</v>
      </c>
      <c r="H39" s="78"/>
      <c r="I39" s="78"/>
      <c r="J39" s="78"/>
    </row>
    <row r="40" spans="2:19" ht="16.05" customHeight="1">
      <c r="B40" s="79" t="s">
        <v>89</v>
      </c>
      <c r="C40" s="80"/>
      <c r="D40" s="81"/>
      <c r="E40" s="81"/>
      <c r="F40"/>
      <c r="G40" s="79" t="s">
        <v>89</v>
      </c>
      <c r="H40" s="79"/>
      <c r="I40" s="84"/>
      <c r="J40" s="84"/>
      <c r="K40" s="62"/>
      <c r="L40" s="62"/>
      <c r="M40" s="92"/>
      <c r="N40" s="62"/>
      <c r="O40" s="62"/>
      <c r="P40" s="62"/>
      <c r="Q40" s="62"/>
      <c r="R40" s="62"/>
      <c r="S40" s="62"/>
    </row>
    <row r="41" spans="2:19" ht="16.05" customHeight="1">
      <c r="B41" s="81" t="s">
        <v>90</v>
      </c>
      <c r="C41" s="81" t="s">
        <v>91</v>
      </c>
      <c r="D41" s="81" t="s">
        <v>92</v>
      </c>
      <c r="E41" s="81" t="s">
        <v>93</v>
      </c>
      <c r="F41"/>
      <c r="G41" s="85" t="s">
        <v>110</v>
      </c>
      <c r="H41" s="85" t="s">
        <v>91</v>
      </c>
      <c r="I41" s="85" t="s">
        <v>92</v>
      </c>
      <c r="J41" s="85" t="s">
        <v>93</v>
      </c>
      <c r="K41" s="60"/>
      <c r="L41" s="60"/>
      <c r="M41" s="91"/>
      <c r="N41" s="60"/>
      <c r="O41" s="60"/>
      <c r="P41" s="60"/>
      <c r="Q41" s="60"/>
      <c r="R41" s="60"/>
      <c r="S41" s="60"/>
    </row>
    <row r="42" spans="2:19" ht="16.05" customHeight="1">
      <c r="B42" s="81">
        <v>-100000</v>
      </c>
      <c r="C42" s="81">
        <v>0.49999900000000003</v>
      </c>
      <c r="D42" s="82" t="s">
        <v>94</v>
      </c>
      <c r="E42" s="83">
        <v>0.14000000000000001</v>
      </c>
      <c r="F42"/>
      <c r="G42" s="81">
        <v>-100000</v>
      </c>
      <c r="H42" s="95">
        <v>0.19999900000000001</v>
      </c>
      <c r="I42" s="82" t="s">
        <v>94</v>
      </c>
      <c r="J42" s="83">
        <v>0.14000000000000001</v>
      </c>
      <c r="K42" s="60"/>
      <c r="L42" s="60"/>
      <c r="M42" s="91"/>
      <c r="N42" s="60"/>
      <c r="O42" s="60"/>
      <c r="P42" s="60"/>
      <c r="Q42" s="60"/>
      <c r="R42" s="60"/>
      <c r="S42" s="60"/>
    </row>
    <row r="43" spans="2:19" ht="16.05" customHeight="1">
      <c r="B43" s="81">
        <v>0.5</v>
      </c>
      <c r="C43" s="81">
        <v>0.79999900000000002</v>
      </c>
      <c r="D43" s="82" t="s">
        <v>95</v>
      </c>
      <c r="E43" s="83">
        <v>0.105</v>
      </c>
      <c r="F43"/>
      <c r="G43" s="81">
        <v>0.2</v>
      </c>
      <c r="H43" s="95">
        <v>0.64999899999999999</v>
      </c>
      <c r="I43" s="82" t="s">
        <v>95</v>
      </c>
      <c r="J43" s="83">
        <v>0.105</v>
      </c>
      <c r="K43" s="63"/>
      <c r="L43" s="63"/>
      <c r="M43" s="93"/>
      <c r="N43" s="63"/>
      <c r="O43" s="63"/>
      <c r="P43" s="63"/>
      <c r="Q43" s="63"/>
      <c r="R43" s="63"/>
      <c r="S43" s="63"/>
    </row>
    <row r="44" spans="2:19" ht="16.05" customHeight="1">
      <c r="B44" s="81">
        <v>0.8</v>
      </c>
      <c r="C44" s="81">
        <v>1.2499990000000001</v>
      </c>
      <c r="D44" s="82" t="s">
        <v>96</v>
      </c>
      <c r="E44" s="83">
        <v>0.08</v>
      </c>
      <c r="F44"/>
      <c r="G44" s="81">
        <v>0.65</v>
      </c>
      <c r="H44" s="95">
        <v>0.79999900000000002</v>
      </c>
      <c r="I44" s="82" t="s">
        <v>96</v>
      </c>
      <c r="J44" s="83">
        <v>0.08</v>
      </c>
      <c r="K44" s="60"/>
      <c r="L44" s="60"/>
      <c r="M44" s="91"/>
      <c r="N44" s="60"/>
      <c r="O44" s="60"/>
      <c r="P44" s="60"/>
      <c r="Q44" s="60"/>
      <c r="R44" s="60"/>
      <c r="S44" s="60"/>
    </row>
    <row r="45" spans="2:19" ht="16.05" customHeight="1">
      <c r="B45" s="81">
        <v>1.25</v>
      </c>
      <c r="C45" s="81">
        <v>1.4999990000000001</v>
      </c>
      <c r="D45" s="82" t="s">
        <v>97</v>
      </c>
      <c r="E45" s="83">
        <v>6.5000000000000002E-2</v>
      </c>
      <c r="F45"/>
      <c r="G45" s="81">
        <v>0.8</v>
      </c>
      <c r="H45" s="95">
        <v>1.2499990000000001</v>
      </c>
      <c r="I45" s="82" t="s">
        <v>97</v>
      </c>
      <c r="J45" s="83">
        <v>6.5000000000000002E-2</v>
      </c>
    </row>
    <row r="46" spans="2:19" ht="16.05" customHeight="1">
      <c r="B46" s="81">
        <v>1.5</v>
      </c>
      <c r="C46" s="81">
        <v>1.9999990000000001</v>
      </c>
      <c r="D46" s="82" t="s">
        <v>98</v>
      </c>
      <c r="E46" s="83">
        <v>5.5E-2</v>
      </c>
      <c r="F46"/>
      <c r="G46" s="81">
        <v>1.25</v>
      </c>
      <c r="H46" s="95">
        <v>1.4999990000000001</v>
      </c>
      <c r="I46" s="82" t="s">
        <v>98</v>
      </c>
      <c r="J46" s="83">
        <v>5.5E-2</v>
      </c>
    </row>
    <row r="47" spans="2:19" ht="16.05" customHeight="1">
      <c r="B47" s="81">
        <v>2</v>
      </c>
      <c r="C47" s="81">
        <v>2.4999989999999999</v>
      </c>
      <c r="D47" s="82" t="s">
        <v>99</v>
      </c>
      <c r="E47" s="83">
        <v>4.4999999999999998E-2</v>
      </c>
      <c r="F47"/>
      <c r="G47" s="81">
        <v>1.5</v>
      </c>
      <c r="H47" s="95">
        <v>1.7499990000000001</v>
      </c>
      <c r="I47" s="82" t="s">
        <v>99</v>
      </c>
      <c r="J47" s="83">
        <v>4.4999999999999998E-2</v>
      </c>
      <c r="K47" s="60"/>
      <c r="L47" s="60"/>
      <c r="M47" s="91"/>
      <c r="N47" s="60"/>
      <c r="O47" s="60"/>
      <c r="P47" s="60"/>
      <c r="Q47" s="60"/>
      <c r="R47" s="60"/>
      <c r="S47" s="60"/>
    </row>
    <row r="48" spans="2:19" ht="16.05" customHeight="1">
      <c r="B48" s="81">
        <v>2.5</v>
      </c>
      <c r="C48" s="81">
        <v>2.9999989999999999</v>
      </c>
      <c r="D48" s="82" t="s">
        <v>100</v>
      </c>
      <c r="E48" s="83">
        <v>3.7499999999999999E-2</v>
      </c>
      <c r="F48"/>
      <c r="G48" s="81">
        <v>1.75</v>
      </c>
      <c r="H48" s="95">
        <v>1.9999990000000001</v>
      </c>
      <c r="I48" s="82" t="s">
        <v>100</v>
      </c>
      <c r="J48" s="83">
        <v>3.7499999999999999E-2</v>
      </c>
    </row>
    <row r="49" spans="2:10" ht="16.05" customHeight="1">
      <c r="B49" s="81">
        <v>3</v>
      </c>
      <c r="C49" s="81">
        <v>3.4999989999999999</v>
      </c>
      <c r="D49" s="82" t="s">
        <v>101</v>
      </c>
      <c r="E49" s="83">
        <v>0.03</v>
      </c>
      <c r="F49"/>
      <c r="G49" s="81">
        <v>2</v>
      </c>
      <c r="H49" s="95">
        <v>2.2499999000000002</v>
      </c>
      <c r="I49" s="82" t="s">
        <v>101</v>
      </c>
      <c r="J49" s="83">
        <v>0.03</v>
      </c>
    </row>
    <row r="50" spans="2:10" ht="16.05" customHeight="1">
      <c r="B50" s="81">
        <v>3.5</v>
      </c>
      <c r="C50" s="81">
        <v>3.9999999000000002</v>
      </c>
      <c r="D50" s="82" t="s">
        <v>102</v>
      </c>
      <c r="E50" s="83">
        <v>2.5000000000000001E-2</v>
      </c>
      <c r="F50"/>
      <c r="G50" s="81">
        <v>2.25</v>
      </c>
      <c r="H50" s="95">
        <v>2.4999899999999999</v>
      </c>
      <c r="I50" s="82" t="s">
        <v>102</v>
      </c>
      <c r="J50" s="83">
        <v>2.5000000000000001E-2</v>
      </c>
    </row>
    <row r="51" spans="2:10" ht="16.05" customHeight="1">
      <c r="B51" s="81">
        <v>4</v>
      </c>
      <c r="C51" s="81">
        <v>4.4999989999999999</v>
      </c>
      <c r="D51" s="82" t="s">
        <v>103</v>
      </c>
      <c r="E51" s="83">
        <v>1.6E-2</v>
      </c>
      <c r="F51"/>
      <c r="G51" s="81">
        <v>2.5</v>
      </c>
      <c r="H51" s="95">
        <v>2.9999989999999999</v>
      </c>
      <c r="I51" s="82" t="s">
        <v>103</v>
      </c>
      <c r="J51" s="83">
        <v>1.6E-2</v>
      </c>
    </row>
    <row r="52" spans="2:10" ht="16.05" customHeight="1">
      <c r="B52" s="81">
        <v>4.5</v>
      </c>
      <c r="C52" s="81">
        <v>5.9999989999999999</v>
      </c>
      <c r="D52" s="82" t="s">
        <v>104</v>
      </c>
      <c r="E52" s="83">
        <v>1.2500000000000001E-2</v>
      </c>
      <c r="F52"/>
      <c r="G52" s="81">
        <v>3</v>
      </c>
      <c r="H52" s="95">
        <v>4.2499989999999999</v>
      </c>
      <c r="I52" s="82" t="s">
        <v>104</v>
      </c>
      <c r="J52" s="83">
        <v>1.2500000000000001E-2</v>
      </c>
    </row>
    <row r="53" spans="2:10" ht="16.05" customHeight="1">
      <c r="B53" s="81">
        <v>6</v>
      </c>
      <c r="C53" s="81">
        <v>7.4999989999999999</v>
      </c>
      <c r="D53" s="82" t="s">
        <v>105</v>
      </c>
      <c r="E53" s="83">
        <v>1.0999999999999999E-2</v>
      </c>
      <c r="F53"/>
      <c r="G53" s="81">
        <v>4.25</v>
      </c>
      <c r="H53" s="95">
        <v>5.4999989999999999</v>
      </c>
      <c r="I53" s="82" t="s">
        <v>105</v>
      </c>
      <c r="J53" s="83">
        <v>1.0999999999999999E-2</v>
      </c>
    </row>
    <row r="54" spans="2:10" ht="16.05" customHeight="1">
      <c r="B54" s="81">
        <v>7.5</v>
      </c>
      <c r="C54" s="81">
        <v>9.4999990000000007</v>
      </c>
      <c r="D54" s="82" t="s">
        <v>106</v>
      </c>
      <c r="E54" s="83">
        <v>0.01</v>
      </c>
      <c r="F54"/>
      <c r="G54" s="81">
        <v>5.5</v>
      </c>
      <c r="H54" s="95">
        <v>6.4999989999999999</v>
      </c>
      <c r="I54" s="82" t="s">
        <v>106</v>
      </c>
      <c r="J54" s="83">
        <v>0.01</v>
      </c>
    </row>
    <row r="55" spans="2:10" ht="16.05" customHeight="1">
      <c r="B55" s="81">
        <v>9.5</v>
      </c>
      <c r="C55" s="81">
        <v>12.499999000000001</v>
      </c>
      <c r="D55" s="82" t="s">
        <v>107</v>
      </c>
      <c r="E55" s="83">
        <v>8.0000000000000002E-3</v>
      </c>
      <c r="F55"/>
      <c r="G55" s="81">
        <v>6.5</v>
      </c>
      <c r="H55" s="95">
        <v>8.4999990000000007</v>
      </c>
      <c r="I55" s="82" t="s">
        <v>107</v>
      </c>
      <c r="J55" s="83">
        <v>8.0000000000000002E-3</v>
      </c>
    </row>
    <row r="56" spans="2:10" ht="16.05" customHeight="1">
      <c r="B56" s="81">
        <v>12.5</v>
      </c>
      <c r="C56" s="81">
        <v>100000</v>
      </c>
      <c r="D56" s="82" t="s">
        <v>108</v>
      </c>
      <c r="E56" s="83">
        <v>6.0000000000000001E-3</v>
      </c>
      <c r="F56"/>
      <c r="G56" s="86">
        <v>8.5</v>
      </c>
      <c r="H56" s="95">
        <v>100000</v>
      </c>
      <c r="I56" s="82" t="s">
        <v>108</v>
      </c>
      <c r="J56" s="83">
        <v>6.0000000000000001E-3</v>
      </c>
    </row>
  </sheetData>
  <mergeCells count="2">
    <mergeCell ref="B16:L16"/>
    <mergeCell ref="B2:M2"/>
  </mergeCells>
  <pageMargins left="0.75" right="0.75" top="1" bottom="1" header="0.5" footer="0.5"/>
  <pageSetup paperSize="9" orientation="portrait" horizontalDpi="4294967292" verticalDpi="4294967292" r:id="rId1"/>
  <customProperties>
    <customPr name="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Inputs</vt:lpstr>
      <vt:lpstr>Calc</vt:lpstr>
      <vt:lpstr>WACC</vt:lpstr>
      <vt:lpstr>Beta, Cost of Debt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Demetris</dc:creator>
  <cp:lastModifiedBy>Demetris Iacovides</cp:lastModifiedBy>
  <dcterms:created xsi:type="dcterms:W3CDTF">2017-02-26T16:33:06Z</dcterms:created>
  <dcterms:modified xsi:type="dcterms:W3CDTF">2017-03-04T19:01:21Z</dcterms:modified>
</cp:coreProperties>
</file>